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tyrens-my.sharepoint.com/personal/johan_albihn_tyrens_se/Documents/Skrivbordet/"/>
    </mc:Choice>
  </mc:AlternateContent>
  <xr:revisionPtr revIDLastSave="166" documentId="8_{61D1D31F-BF50-4F49-98FA-7FF936E24D02}" xr6:coauthVersionLast="47" xr6:coauthVersionMax="47" xr10:uidLastSave="{79611CDF-8A63-4DA2-AA24-49DDD284A505}"/>
  <bookViews>
    <workbookView xWindow="-110" yWindow="-110" windowWidth="38620" windowHeight="21100" tabRatio="601" activeTab="1" xr2:uid="{1AA4E485-30DE-4E78-A683-E314C55E0C3B}"/>
  </bookViews>
  <sheets>
    <sheet name="Indata" sheetId="2" r:id="rId1"/>
    <sheet name="Rapport" sheetId="5" r:id="rId2"/>
    <sheet name="Emissionsfaktorer" sheetId="1" r:id="rId3"/>
    <sheet name="Transportdata" sheetId="4" r:id="rId4"/>
    <sheet name="PM" sheetId="8" r:id="rId5"/>
    <sheet name="Referenser" sheetId="3" r:id="rId6"/>
  </sheets>
  <definedNames>
    <definedName name="Bränsleförbrukning">Emissionsfaktorer!$Z$78:$Z$80</definedName>
    <definedName name="Färg">Emissionsfaktorer!$K$78:$K$83</definedName>
    <definedName name="Glas">Emissionsfaktorer!$H$78:$H$79</definedName>
    <definedName name="Metall">Emissionsfaktorer!$E$78:$E$88</definedName>
    <definedName name="Plast">Emissionsfaktorer!$I$78:$I$83</definedName>
    <definedName name="Smälta_Aluminium">Emissionsfaktorer!$R$78:$R$86</definedName>
    <definedName name="Smälta_Brons">Emissionsfaktorer!$S$78:$S$86</definedName>
    <definedName name="Smälta_Järn">Emissionsfaktorer!$P$78:$P$86</definedName>
    <definedName name="Smälta_Stål">Emissionsfaktorer!$Q$78:$Q$86</definedName>
    <definedName name="Sten_och_betong">Emissionsfaktorer!$F$78:$F$83</definedName>
    <definedName name="Textil">Emissionsfaktorer!$J$78:$J$87</definedName>
    <definedName name="Trä">Emissionsfaktorer!$G$78:$G$85</definedName>
    <definedName name="_xlnm.Print_Area" localSheetId="4">PM!$A$1:$I$203</definedName>
    <definedName name="_xlnm.Print_Area" localSheetId="1">Rapport!$A$1:$L$119</definedName>
    <definedName name="_xlnm.Print_Area" localSheetId="5">Referenser!$A$1:$A$33</definedName>
    <definedName name="Övrig_elförbrukning_max_10000W">Emissionsfaktorer!$Y$78:$Y$82</definedName>
    <definedName name="Övrig_elförbrukning_max_1000W">Emissionsfaktorer!$U$78:$U$82</definedName>
    <definedName name="Övrig_elförbrukning_max_100W">Emissionsfaktorer!$T$78:$T$82</definedName>
    <definedName name="Övrig_elförbrukning_max_2000W">Emissionsfaktorer!$V$78:$V$82</definedName>
    <definedName name="Övrig_elförbrukning_max_3000W">Emissionsfaktorer!$W$78:$W$82</definedName>
    <definedName name="Övrig_elförbrukning_max_5000W">Emissionsfaktorer!$X$78:$X$82</definedName>
    <definedName name="Övrigt">Emissionsfaktorer!$L$78:$L$88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2" i="2" l="1"/>
  <c r="S32" i="2"/>
  <c r="R32" i="2"/>
  <c r="U32" i="2"/>
  <c r="R36" i="2"/>
  <c r="F9" i="2" l="1"/>
  <c r="F10" i="2"/>
  <c r="F11" i="2"/>
  <c r="F12" i="2"/>
  <c r="F13" i="2"/>
  <c r="F14" i="2"/>
  <c r="F15" i="2"/>
  <c r="F16" i="2"/>
  <c r="F17" i="2"/>
  <c r="F18" i="2"/>
  <c r="F19" i="2"/>
  <c r="F20" i="2"/>
  <c r="F21" i="2"/>
  <c r="F22" i="2"/>
  <c r="F23" i="2"/>
  <c r="F24" i="2"/>
  <c r="F25" i="2"/>
  <c r="F26" i="2"/>
  <c r="F27" i="2"/>
  <c r="F8" i="2"/>
  <c r="Q9" i="2"/>
  <c r="Q10" i="2"/>
  <c r="Q11" i="2"/>
  <c r="Q12" i="2"/>
  <c r="Q13" i="2"/>
  <c r="Q14" i="2"/>
  <c r="Q15" i="2"/>
  <c r="Q16" i="2"/>
  <c r="Q17" i="2"/>
  <c r="Q18" i="2"/>
  <c r="Q19" i="2"/>
  <c r="Q20" i="2"/>
  <c r="Q21" i="2"/>
  <c r="Q22" i="2"/>
  <c r="Q23" i="2"/>
  <c r="Q24" i="2"/>
  <c r="Q25" i="2"/>
  <c r="Q26" i="2"/>
  <c r="Q27" i="2"/>
  <c r="Q8" i="2"/>
  <c r="A110" i="5"/>
  <c r="S36" i="2"/>
  <c r="Q36" i="2"/>
  <c r="K79" i="1" l="1"/>
  <c r="K80" i="1"/>
  <c r="K81" i="1"/>
  <c r="K82" i="1"/>
  <c r="K83" i="1"/>
  <c r="G79" i="1"/>
  <c r="G80" i="1"/>
  <c r="G81" i="1"/>
  <c r="G82" i="1"/>
  <c r="G83" i="1"/>
  <c r="G84" i="1"/>
  <c r="G85" i="1"/>
  <c r="H79" i="1"/>
  <c r="I79" i="1"/>
  <c r="I80" i="1"/>
  <c r="I81" i="1"/>
  <c r="I82" i="1"/>
  <c r="I83" i="1"/>
  <c r="F79" i="1"/>
  <c r="F80" i="1"/>
  <c r="F81" i="1"/>
  <c r="F82" i="1"/>
  <c r="F83" i="1"/>
  <c r="F84" i="1"/>
  <c r="U16" i="1" l="1"/>
  <c r="U12" i="1"/>
  <c r="L86" i="1"/>
  <c r="L87" i="1"/>
  <c r="L88" i="1"/>
  <c r="I9" i="2"/>
  <c r="I10" i="2"/>
  <c r="I11" i="2"/>
  <c r="I12" i="2"/>
  <c r="I13" i="2"/>
  <c r="I14" i="2"/>
  <c r="I15" i="2"/>
  <c r="I16" i="2"/>
  <c r="I17" i="2"/>
  <c r="I18" i="2"/>
  <c r="I19" i="2"/>
  <c r="I20" i="2"/>
  <c r="I21" i="2"/>
  <c r="I22" i="2"/>
  <c r="I23" i="2"/>
  <c r="I24" i="2"/>
  <c r="I25" i="2"/>
  <c r="I26" i="2"/>
  <c r="I27" i="2"/>
  <c r="I8" i="2"/>
  <c r="Q50" i="2"/>
  <c r="Q51" i="2"/>
  <c r="Q52" i="2"/>
  <c r="Q53" i="2"/>
  <c r="Q49" i="2"/>
  <c r="Q41" i="2"/>
  <c r="Q42" i="2"/>
  <c r="Q43" i="2"/>
  <c r="Q44" i="2"/>
  <c r="Q45" i="2"/>
  <c r="Q40" i="2"/>
  <c r="S41" i="2"/>
  <c r="S50" i="2"/>
  <c r="S51" i="2"/>
  <c r="S52" i="2"/>
  <c r="S53" i="2"/>
  <c r="S42" i="2"/>
  <c r="S43" i="2"/>
  <c r="S44" i="2"/>
  <c r="S45" i="2"/>
  <c r="E40" i="2"/>
  <c r="D49" i="2"/>
  <c r="T22" i="2"/>
  <c r="T9" i="2"/>
  <c r="T10" i="2"/>
  <c r="T11" i="2"/>
  <c r="T12" i="2"/>
  <c r="T13" i="2"/>
  <c r="T14" i="2"/>
  <c r="T15" i="2"/>
  <c r="T16" i="2"/>
  <c r="T17" i="2"/>
  <c r="T18" i="2"/>
  <c r="T19" i="2"/>
  <c r="T20" i="2"/>
  <c r="T21" i="2"/>
  <c r="T23" i="2"/>
  <c r="T24" i="2"/>
  <c r="T25" i="2"/>
  <c r="T26" i="2"/>
  <c r="T27" i="2"/>
  <c r="E67" i="2" l="1"/>
  <c r="C67" i="2" s="1"/>
  <c r="E68" i="2"/>
  <c r="C68" i="2" s="1"/>
  <c r="V9" i="2"/>
  <c r="V10" i="2"/>
  <c r="V11" i="2"/>
  <c r="V12" i="2"/>
  <c r="V13" i="2"/>
  <c r="V14" i="2"/>
  <c r="V15" i="2"/>
  <c r="V16" i="2"/>
  <c r="V17" i="2"/>
  <c r="V18" i="2"/>
  <c r="V19" i="2"/>
  <c r="V20" i="2"/>
  <c r="V21" i="2"/>
  <c r="V22" i="2"/>
  <c r="V23" i="2"/>
  <c r="V24" i="2"/>
  <c r="V25" i="2"/>
  <c r="V26" i="2"/>
  <c r="V27" i="2"/>
  <c r="K16" i="1" l="1"/>
  <c r="K15" i="1"/>
  <c r="K14" i="1"/>
  <c r="L79" i="1" l="1"/>
  <c r="L80" i="1"/>
  <c r="L81" i="1"/>
  <c r="L82" i="1"/>
  <c r="L83" i="1"/>
  <c r="L84" i="1"/>
  <c r="L85" i="1"/>
  <c r="B116" i="5" l="1"/>
  <c r="B115" i="5"/>
  <c r="C61" i="2"/>
  <c r="B117" i="5"/>
  <c r="U14" i="1"/>
  <c r="S9" i="2"/>
  <c r="S10" i="2"/>
  <c r="S11" i="2"/>
  <c r="S12" i="2"/>
  <c r="S13" i="2"/>
  <c r="S14" i="2"/>
  <c r="S15" i="2"/>
  <c r="S16" i="2"/>
  <c r="S17" i="2"/>
  <c r="S18" i="2"/>
  <c r="S19" i="2"/>
  <c r="S20" i="2"/>
  <c r="S21" i="2"/>
  <c r="S22" i="2"/>
  <c r="S23" i="2"/>
  <c r="S24" i="2"/>
  <c r="S25" i="2"/>
  <c r="S26" i="2"/>
  <c r="S27" i="2"/>
  <c r="R9" i="2"/>
  <c r="R10" i="2"/>
  <c r="R11" i="2"/>
  <c r="R12" i="2"/>
  <c r="R13" i="2"/>
  <c r="R14" i="2"/>
  <c r="R15" i="2"/>
  <c r="R16" i="2"/>
  <c r="R17" i="2"/>
  <c r="R18" i="2"/>
  <c r="R19" i="2"/>
  <c r="R20" i="2"/>
  <c r="R21" i="2"/>
  <c r="R22" i="2"/>
  <c r="R23" i="2"/>
  <c r="R24" i="2"/>
  <c r="R25" i="2"/>
  <c r="R26" i="2"/>
  <c r="R27" i="2"/>
  <c r="AJ4" i="1"/>
  <c r="C73" i="2" a="1"/>
  <c r="C73" i="2" s="1"/>
  <c r="D50" i="2"/>
  <c r="D51" i="2"/>
  <c r="D52" i="2"/>
  <c r="D53" i="2"/>
  <c r="J79" i="1"/>
  <c r="J80" i="1"/>
  <c r="J81" i="1"/>
  <c r="J82" i="1"/>
  <c r="J83" i="1"/>
  <c r="J84" i="1"/>
  <c r="J85" i="1"/>
  <c r="J86" i="1"/>
  <c r="J87" i="1"/>
  <c r="E79" i="1"/>
  <c r="E80" i="1"/>
  <c r="E81" i="1"/>
  <c r="E82" i="1"/>
  <c r="E83" i="1"/>
  <c r="E84" i="1"/>
  <c r="E85" i="1"/>
  <c r="E86" i="1"/>
  <c r="E87" i="1"/>
  <c r="E88" i="1"/>
  <c r="Y4" i="1"/>
  <c r="Y11" i="1"/>
  <c r="Y8" i="1"/>
  <c r="Y7" i="1"/>
  <c r="Y6" i="1"/>
  <c r="Y5" i="1"/>
  <c r="G12" i="1"/>
  <c r="G11" i="1"/>
  <c r="G10" i="1"/>
  <c r="G9" i="1"/>
  <c r="U18" i="2" l="1"/>
  <c r="D73" i="2"/>
  <c r="U21" i="2"/>
  <c r="U9" i="2"/>
  <c r="U20" i="2"/>
  <c r="U19" i="2"/>
  <c r="U17" i="2"/>
  <c r="Y9" i="1"/>
  <c r="P11" i="1"/>
  <c r="P12" i="1"/>
  <c r="S40" i="2" s="1"/>
  <c r="U26" i="2"/>
  <c r="U14" i="2"/>
  <c r="U16" i="2"/>
  <c r="U15" i="2"/>
  <c r="U25" i="2"/>
  <c r="U27" i="2"/>
  <c r="U13" i="2"/>
  <c r="U24" i="2"/>
  <c r="U12" i="2"/>
  <c r="U23" i="2"/>
  <c r="U11" i="2"/>
  <c r="U22" i="2"/>
  <c r="U10" i="2"/>
  <c r="Y10" i="1"/>
  <c r="S49" i="2" s="1"/>
  <c r="K8" i="1"/>
  <c r="V8" i="2" s="1"/>
  <c r="E69" i="2" l="1"/>
  <c r="D64" i="2"/>
  <c r="F70" i="2"/>
  <c r="D65" i="2"/>
  <c r="C65" i="2" s="1"/>
  <c r="AH80" i="1"/>
  <c r="AH79" i="1"/>
  <c r="AH78" i="1"/>
  <c r="E71" i="2" l="1"/>
  <c r="C69" i="2"/>
  <c r="F71" i="2"/>
  <c r="C70" i="2"/>
  <c r="C64" i="2"/>
  <c r="E41" i="2"/>
  <c r="E42" i="2"/>
  <c r="E43" i="2"/>
  <c r="E44" i="2"/>
  <c r="E45" i="2"/>
  <c r="D76" i="2" l="1"/>
  <c r="D78" i="2"/>
  <c r="D77" i="2"/>
  <c r="D79" i="2" l="1"/>
  <c r="D74" i="2"/>
  <c r="D75" i="2"/>
  <c r="L78" i="1" l="1"/>
  <c r="K78" i="1"/>
  <c r="U9" i="1" l="1"/>
  <c r="U8" i="1"/>
  <c r="U7" i="1"/>
  <c r="U6" i="1"/>
  <c r="U5" i="1"/>
  <c r="E78" i="1"/>
  <c r="F78" i="1"/>
  <c r="G78" i="1"/>
  <c r="I78" i="1"/>
  <c r="H78" i="1"/>
  <c r="J78" i="1"/>
  <c r="A8" i="5"/>
  <c r="T8" i="2" l="1"/>
  <c r="R8" i="2"/>
  <c r="S8" i="2"/>
  <c r="U10" i="1"/>
  <c r="C46" i="4"/>
  <c r="C47" i="4" s="1"/>
  <c r="C23" i="4"/>
  <c r="C24" i="4" s="1"/>
  <c r="B23" i="4"/>
  <c r="B24" i="4" s="1"/>
  <c r="B26" i="4" s="1"/>
  <c r="B17" i="4"/>
  <c r="C10" i="4"/>
  <c r="B10" i="4"/>
  <c r="D9" i="4"/>
  <c r="D10" i="4" s="1"/>
  <c r="C9" i="4"/>
  <c r="B9" i="4"/>
  <c r="U8" i="2" l="1"/>
  <c r="D66" i="2" l="1"/>
  <c r="C66" i="2" s="1"/>
  <c r="D71" i="2" l="1"/>
  <c r="G71" i="2" s="1"/>
  <c r="M64" i="2" l="1"/>
  <c r="K64" i="2"/>
  <c r="L64" i="2"/>
  <c r="H70" i="2"/>
  <c r="H68" i="2"/>
  <c r="H65" i="2"/>
  <c r="H69" i="2"/>
  <c r="H67" i="2"/>
  <c r="H64" i="2"/>
  <c r="A68" i="5" s="1"/>
  <c r="H66" i="2"/>
  <c r="A11" i="5" l="1"/>
  <c r="H71"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<sst xmlns="http://schemas.openxmlformats.org/spreadsheetml/2006/main" count="877" uniqueCount="400">
  <si>
    <t>Namn på konstverket:</t>
  </si>
  <si>
    <t>Kommentarer:</t>
  </si>
  <si>
    <t>Namn på konstnär:</t>
  </si>
  <si>
    <t>Indata har fyllts i av:</t>
  </si>
  <si>
    <t>Konstverkets totalvikt [kg]:</t>
  </si>
  <si>
    <t>Materialtransport 1</t>
  </si>
  <si>
    <t>Materialtransport 2</t>
  </si>
  <si>
    <t>Materialtransport 3</t>
  </si>
  <si>
    <t>Produktionsskede: utvinning av råmaterial, materialtransporter och materialbearbetning</t>
  </si>
  <si>
    <t>Materialgrupp</t>
  </si>
  <si>
    <t>Material</t>
  </si>
  <si>
    <t>Mängd</t>
  </si>
  <si>
    <t>Enhet</t>
  </si>
  <si>
    <t>Materialbearbetning</t>
  </si>
  <si>
    <t>Ange energikälla, region</t>
  </si>
  <si>
    <t>Transportsätt</t>
  </si>
  <si>
    <t>Transportsträcka  [km]</t>
  </si>
  <si>
    <t>Klimatpåverkan material [kg CO2e]</t>
  </si>
  <si>
    <t>Klimatpåverkan materialtransport 1 [kg CO2e]</t>
  </si>
  <si>
    <t>Klimatpåverkan materialtransport 2 [kg CO2e]</t>
  </si>
  <si>
    <t>Klimatpåverkan materialtransport 3 [kg CO2e]</t>
  </si>
  <si>
    <t>Klimatpåverkan Transport</t>
  </si>
  <si>
    <t>Klimatpåverkan materialbearbetning
[kg CO2e]</t>
  </si>
  <si>
    <t>Sten_och_betong</t>
  </si>
  <si>
    <t>Betong</t>
  </si>
  <si>
    <t>Lastbil (SE)</t>
  </si>
  <si>
    <t>Transportsätt 1</t>
  </si>
  <si>
    <t>Transportsätt 2</t>
  </si>
  <si>
    <t>Transportsätt 3</t>
  </si>
  <si>
    <t>Klimatpåverkan transport konstverk Transportsätt 1</t>
  </si>
  <si>
    <t>Klimatpåverkan transport konstverk Transportsätt 2</t>
  </si>
  <si>
    <t>Klimatpåverkan transport konstverk Transportsätt 3</t>
  </si>
  <si>
    <t>Transport konstverk till utställningsplats</t>
  </si>
  <si>
    <t>Transportsträcka [km]</t>
  </si>
  <si>
    <t>Klimatpåverkan konstnärens resor
Transportsätt 1</t>
  </si>
  <si>
    <t>Klimatpåverkan konstnärens resor
Transportsätt 2</t>
  </si>
  <si>
    <t>Klimatpåverkan konstnärens resor
Transportsätt 3</t>
  </si>
  <si>
    <t>Konstnärens resor</t>
  </si>
  <si>
    <t>Anläggningsarbete</t>
  </si>
  <si>
    <t>Anläggningsarbeten</t>
  </si>
  <si>
    <t>Klimatpåverkan anläggningsarbete</t>
  </si>
  <si>
    <t>Drift och underhåll</t>
  </si>
  <si>
    <t>Ange mängd per år</t>
  </si>
  <si>
    <t>Klimatpåverkan drift och underhåll</t>
  </si>
  <si>
    <t>Skede</t>
  </si>
  <si>
    <t>Kg CO2e</t>
  </si>
  <si>
    <t>Tillverkning</t>
  </si>
  <si>
    <t>Installation</t>
  </si>
  <si>
    <t>%</t>
  </si>
  <si>
    <t>Antal resor mellan Stockholm och Uppsala</t>
  </si>
  <si>
    <t>Antal nyplanterade stadsträd</t>
  </si>
  <si>
    <t>Antal kvadratmeter förskola</t>
  </si>
  <si>
    <t>Totalt</t>
  </si>
  <si>
    <t>Kommentarer</t>
  </si>
  <si>
    <t>Materiallista</t>
  </si>
  <si>
    <t>Energi</t>
  </si>
  <si>
    <t>Transport</t>
  </si>
  <si>
    <t>Resor</t>
  </si>
  <si>
    <t>Kolinlagring Trä</t>
  </si>
  <si>
    <t>Övriga data</t>
  </si>
  <si>
    <t>Emissionsfaktor [kg CO2e]</t>
  </si>
  <si>
    <t>Referens</t>
  </si>
  <si>
    <t>Land/energikälla</t>
  </si>
  <si>
    <t>Behandlingsmetod</t>
  </si>
  <si>
    <t>Utsläppsfaktor</t>
  </si>
  <si>
    <t>Arbete</t>
  </si>
  <si>
    <t>Transporttyp</t>
  </si>
  <si>
    <t>Typ</t>
  </si>
  <si>
    <t>kg C/träd</t>
  </si>
  <si>
    <t>kg CO2e/träd</t>
  </si>
  <si>
    <t>Metall</t>
  </si>
  <si>
    <t>Aluminium (inom EU)</t>
  </si>
  <si>
    <t>kg</t>
  </si>
  <si>
    <t>Boverket (2023a), Resurs-ID 6000000161</t>
  </si>
  <si>
    <t>El (Sverige)</t>
  </si>
  <si>
    <t>kg CO2e/kWh</t>
  </si>
  <si>
    <t>Boverket (2023a), Resurs-ID 6000000008</t>
  </si>
  <si>
    <t>Smälta_Järn</t>
  </si>
  <si>
    <t>kWh/kg</t>
  </si>
  <si>
    <t>Gjuteriföreningen (2020)</t>
  </si>
  <si>
    <t>Jordschakt</t>
  </si>
  <si>
    <t>CO2e/m3</t>
  </si>
  <si>
    <t>m3</t>
  </si>
  <si>
    <t>Trafikverket klimatkalkyl v 7.0. Medel mellan fall A och fall B</t>
  </si>
  <si>
    <t>Ingen transport</t>
  </si>
  <si>
    <t>Elanvändning &lt; 10 W</t>
  </si>
  <si>
    <t>timmar</t>
  </si>
  <si>
    <t>Personbil (diesel)</t>
  </si>
  <si>
    <t>kg CO2e/km</t>
  </si>
  <si>
    <t>km</t>
  </si>
  <si>
    <t>Energimyndigheten (2021)</t>
  </si>
  <si>
    <t>Nyplanterat stadsträd</t>
  </si>
  <si>
    <t>Råberg et.al (2022)</t>
  </si>
  <si>
    <t>Förskola</t>
  </si>
  <si>
    <t>kg CO2e/m2, BTA</t>
  </si>
  <si>
    <t>Boverket (2023b)</t>
  </si>
  <si>
    <t>Aluminium (övriga världen)</t>
  </si>
  <si>
    <t>International Aluminium (2021)</t>
  </si>
  <si>
    <t>El (Norden)</t>
  </si>
  <si>
    <t>SMED (2021)</t>
  </si>
  <si>
    <t>Smälta_Stål</t>
  </si>
  <si>
    <t>Bergschakt</t>
  </si>
  <si>
    <t>kg Co2e/tkm</t>
  </si>
  <si>
    <t>NTM (2022), Medelvärde för lastbil 34-40 t till &lt;7,5 t. Systemgräns Sverige</t>
  </si>
  <si>
    <t>Elanvändning &lt; 50 W</t>
  </si>
  <si>
    <t>Personbil (bensin)</t>
  </si>
  <si>
    <t>Flerbostadshus</t>
  </si>
  <si>
    <t>Aluminium (skrotbaserad)</t>
  </si>
  <si>
    <t>BM (2023), Aluminiumprofiler, skrotbaserad (RR)</t>
  </si>
  <si>
    <t>El (Övriga Europa)</t>
  </si>
  <si>
    <t>Moro &amp; Lonza (2018)</t>
  </si>
  <si>
    <t>Smälta_Aluminium</t>
  </si>
  <si>
    <t>Fyllnadsmaterial, jord/sand</t>
  </si>
  <si>
    <t>Lastbil (EU)</t>
  </si>
  <si>
    <t>NTM (2022), Medelvärde för lastbil 34-40 t till &lt;7,5 t. Systemgräns Europa</t>
  </si>
  <si>
    <t>Elanvändning &lt; 100 W</t>
  </si>
  <si>
    <t>Personbil (el)</t>
  </si>
  <si>
    <t>Småhus</t>
  </si>
  <si>
    <t>Stål</t>
  </si>
  <si>
    <t>Boverket (2023a), Resurs-ID 6000000150</t>
  </si>
  <si>
    <t>El (Kina)</t>
  </si>
  <si>
    <t>IGES (2022), uppgifter från 2019</t>
  </si>
  <si>
    <t>Smälta_Brons</t>
  </si>
  <si>
    <t>Fyllnadsmaterial, stenkross</t>
  </si>
  <si>
    <t>Lastbil (Global)</t>
  </si>
  <si>
    <t>NTM (2022), Medelvärde för lastbil 34-40 t till &lt;7,5 t. Systemgräns Global</t>
  </si>
  <si>
    <t>Elanvändning &lt; 1000 W</t>
  </si>
  <si>
    <t>Personbil (HVO100)</t>
  </si>
  <si>
    <t>kontor</t>
  </si>
  <si>
    <t>Stål 100 Skrotbaserat</t>
  </si>
  <si>
    <t>Boverket (2023a), Resurs-ID 6000000151</t>
  </si>
  <si>
    <t>El (Thailand)</t>
  </si>
  <si>
    <t>IGES (2022), uppgifter från 2018</t>
  </si>
  <si>
    <t>Övrig_elförbrukning_max_100W</t>
  </si>
  <si>
    <t>kW/h</t>
  </si>
  <si>
    <t>Geotextil</t>
  </si>
  <si>
    <t>CO2e/m2</t>
  </si>
  <si>
    <t>m2</t>
  </si>
  <si>
    <t>Trafikverket klimatkalkyl v 7.0
Lager av geotextil (6.1)</t>
  </si>
  <si>
    <t xml:space="preserve">Tåg </t>
  </si>
  <si>
    <t>NTM (2022), Medelvärde för elektriska och diesel tåg. Antaget 80 % eltåg 20 % diesel.</t>
  </si>
  <si>
    <t>Elanvändning &lt; 2000 W</t>
  </si>
  <si>
    <t>Personbil (E85)</t>
  </si>
  <si>
    <t>Skolor (Utbildning exkl förskola)</t>
  </si>
  <si>
    <t>Rostfritt stål</t>
  </si>
  <si>
    <t>Trafikverket klimatkalkyl v 7.0</t>
  </si>
  <si>
    <t>Gasol</t>
  </si>
  <si>
    <t>Boverket (2023a), Resurs-ID 6100000000</t>
  </si>
  <si>
    <t>Övrig_elförbrukning_max_1000W</t>
  </si>
  <si>
    <t>Gummimatta</t>
  </si>
  <si>
    <t>CO2e/kg</t>
  </si>
  <si>
    <t>Trafikverket klimatkalkyl v 7.0
Syntetgummi (Ballastmatta)</t>
  </si>
  <si>
    <t>Båt</t>
  </si>
  <si>
    <t>NTM (2022), Medelvärde för samtliga båttransporter</t>
  </si>
  <si>
    <t>Teleskoplift</t>
  </si>
  <si>
    <t>IVL (2013), medelvärde för teleskopliftar</t>
  </si>
  <si>
    <t>Personbil (Fordonsgas)</t>
  </si>
  <si>
    <t>Plåt</t>
  </si>
  <si>
    <t>Boverket (2023a), Resurs-ID 6000000153</t>
  </si>
  <si>
    <t>Bensin (fossil)</t>
  </si>
  <si>
    <t>Boverket (2023a), Resurs-ID 6000000013</t>
  </si>
  <si>
    <t>Övrig_elförbrukning_max_2000W</t>
  </si>
  <si>
    <t>Gatsten</t>
  </si>
  <si>
    <t>IVL (2017). Natursten SE</t>
  </si>
  <si>
    <t>Flyg</t>
  </si>
  <si>
    <t>NTM (2022), Medelvärde för samtliga flygtransporter</t>
  </si>
  <si>
    <t>Kranbil</t>
  </si>
  <si>
    <t>IVL (2013), medelvärde för mobilkranar</t>
  </si>
  <si>
    <t>Tåg (Sverige/Norge/Finland)</t>
  </si>
  <si>
    <t>Larsson &amp; Kamb (2022)</t>
  </si>
  <si>
    <t>Brons</t>
  </si>
  <si>
    <t>EPD S-P-06672 (konservativt antagande)</t>
  </si>
  <si>
    <t>Diesel (fossil)</t>
  </si>
  <si>
    <t>Boverket (2023a), Resurs-ID 6000000011</t>
  </si>
  <si>
    <t>Övrig_elförbrukning_max_3000W</t>
  </si>
  <si>
    <t>kg Co2e/km</t>
  </si>
  <si>
    <t>Transport (lastbil) av hela konstverket</t>
  </si>
  <si>
    <t>Tåg (Övriga Europa)</t>
  </si>
  <si>
    <t>Koppar</t>
  </si>
  <si>
    <t>HVO100</t>
  </si>
  <si>
    <t>Boverket (2023a), Resurs-ID 6000000017</t>
  </si>
  <si>
    <t>Övrig_elförbrukning_max_5000W</t>
  </si>
  <si>
    <t>Personbil+släp (diesel)</t>
  </si>
  <si>
    <t>Energimyndigheten (2021) &amp; Gröna bilister (2023)</t>
  </si>
  <si>
    <t>Transport (personbil) mindre underhåll</t>
  </si>
  <si>
    <t>Energimyndigheten (2021). Personbil diesel.</t>
  </si>
  <si>
    <t>Dieseltåg</t>
  </si>
  <si>
    <t>Tackjärn</t>
  </si>
  <si>
    <t>Abdelshafy et.al (2022)</t>
  </si>
  <si>
    <t>Fjärrvärme</t>
  </si>
  <si>
    <t>Boverket (2023a), Resurs-ID 6000000014</t>
  </si>
  <si>
    <t>Övrig_elförbrukning_max_10000W</t>
  </si>
  <si>
    <t>Ommålning/ytbehandling</t>
  </si>
  <si>
    <t>kg CO2e/kg</t>
  </si>
  <si>
    <t>Boverket (2023a), Resurs-ID 6000000144</t>
  </si>
  <si>
    <t>Tenn</t>
  </si>
  <si>
    <t>BGR (2020)</t>
  </si>
  <si>
    <t>kg CO2e/liter</t>
  </si>
  <si>
    <t>liter</t>
  </si>
  <si>
    <t>Personbil+släp (bensin)</t>
  </si>
  <si>
    <t>Vax (paraffin)</t>
  </si>
  <si>
    <t>EPD S-P-06861 (konservativt antagande)</t>
  </si>
  <si>
    <t>Buss (diesel)</t>
  </si>
  <si>
    <t>Boverket (2023a), Resurs-ID 6000000039</t>
  </si>
  <si>
    <t>Buss (biodiesel)</t>
  </si>
  <si>
    <t>Betong (klimatförbättrad)</t>
  </si>
  <si>
    <t>Boverket (2023a), Resurs-ID 6000000040</t>
  </si>
  <si>
    <t>Personbil+släp (el)</t>
  </si>
  <si>
    <t>Färja</t>
  </si>
  <si>
    <t>Tegel</t>
  </si>
  <si>
    <t>Boverket (2023a), Resurs-ID 6000000082</t>
  </si>
  <si>
    <t>Cykel/gång</t>
  </si>
  <si>
    <t>Sten (granit, bearbetad)</t>
  </si>
  <si>
    <t>Sten (obearbetad)</t>
  </si>
  <si>
    <t>Kakel</t>
  </si>
  <si>
    <t>CO2data.fi (2023), ID 7000000539</t>
  </si>
  <si>
    <t>Klinker</t>
  </si>
  <si>
    <t>CO2data.fi (2023), ID 7000000538</t>
  </si>
  <si>
    <t>Trä</t>
  </si>
  <si>
    <t>Trä (barrträ)</t>
  </si>
  <si>
    <t>Boverket (2023a), Resurs-ID 6000000192</t>
  </si>
  <si>
    <t>Trä (hårt träslag)</t>
  </si>
  <si>
    <t>BM (2023), Sågad Ceder från Nordamerika</t>
  </si>
  <si>
    <t>Obearbetat timmer</t>
  </si>
  <si>
    <t>EPD S-P-02537 (A1, konservativt antagande)</t>
  </si>
  <si>
    <t>Plywood</t>
  </si>
  <si>
    <t>Boverket (2023a), Resurs-ID 6000000023</t>
  </si>
  <si>
    <t>MDF-skiva</t>
  </si>
  <si>
    <t>CO2data.fi (2023), ID 7000000396</t>
  </si>
  <si>
    <t>Spånskiva</t>
  </si>
  <si>
    <t>Boverket (2023a), Resurs-ID 6000000000</t>
  </si>
  <si>
    <t>Tryckimpregnerat virke, NTR A</t>
  </si>
  <si>
    <t>IVL, Byggsektorns miljöberäkningsverktyg. v 4.3</t>
  </si>
  <si>
    <t>Tryckimpregnerat virke, NTR AB</t>
  </si>
  <si>
    <t>Glas</t>
  </si>
  <si>
    <t>Boverket (2023a), Resurs-ID 6000000122</t>
  </si>
  <si>
    <t>Glasfiber</t>
  </si>
  <si>
    <t>Plast</t>
  </si>
  <si>
    <t>Boverket (2023a), Resurs-ID 6000000210</t>
  </si>
  <si>
    <t>Plexiglas</t>
  </si>
  <si>
    <t>BM (2023, Plexiglas (Polykarbonat)</t>
  </si>
  <si>
    <t xml:space="preserve">Polyesterplast </t>
  </si>
  <si>
    <t>Färg, epoxi</t>
  </si>
  <si>
    <t>BM (2023), Epoxifärg för inomhusgolv (RR)</t>
  </si>
  <si>
    <t>Cellplast XPS</t>
  </si>
  <si>
    <t>Boverket (2023a), Resurs-ID 6000000132</t>
  </si>
  <si>
    <t>Cellplast EPS</t>
  </si>
  <si>
    <t>Boverket (2023a), Resurs-ID 6000000131</t>
  </si>
  <si>
    <t>Textil</t>
  </si>
  <si>
    <t>Garn (bomull)</t>
  </si>
  <si>
    <t>Fishwick et. al (2012)</t>
  </si>
  <si>
    <t>Garn (lin)</t>
  </si>
  <si>
    <t>Garn (ull)</t>
  </si>
  <si>
    <t>Garn (silke)</t>
  </si>
  <si>
    <t>Garn (polyester)</t>
  </si>
  <si>
    <t>Tyg (bomull)</t>
  </si>
  <si>
    <t>Tyg (linne)</t>
  </si>
  <si>
    <t>Tyg (ull)</t>
  </si>
  <si>
    <t>Tyg (silke)</t>
  </si>
  <si>
    <t>Tyg (polyester)</t>
  </si>
  <si>
    <t>Färg</t>
  </si>
  <si>
    <t>Färg, vattenburen akryl</t>
  </si>
  <si>
    <t>Färg, silikat</t>
  </si>
  <si>
    <t>Boverket (2023a), Resurs-ID 6000000145</t>
  </si>
  <si>
    <t>Färg, vinyl</t>
  </si>
  <si>
    <t>EPD 00000844 (konservativt antagande)</t>
  </si>
  <si>
    <t>Klarlack</t>
  </si>
  <si>
    <t>EPD EPDHUB-0112 (konservativt antagande)</t>
  </si>
  <si>
    <t>Gelcoat</t>
  </si>
  <si>
    <t>Övrigt</t>
  </si>
  <si>
    <t>Silikon</t>
  </si>
  <si>
    <t>Boverket (2023a), Resurs-ID 6000000148</t>
  </si>
  <si>
    <t>Fogmassa, övrigt</t>
  </si>
  <si>
    <t>Boverket (2023a), Resurs-ID 6000000149</t>
  </si>
  <si>
    <t>Belysning (LED)</t>
  </si>
  <si>
    <t>CO2data.fi (2023), ID 7000000490</t>
  </si>
  <si>
    <t>Papp och kartong</t>
  </si>
  <si>
    <t>BM (2023), Papp och kartong, övrigt IVL</t>
  </si>
  <si>
    <t>Elkabel, lågspänning</t>
  </si>
  <si>
    <t>CO2data.fi (2023), ID 7000000480</t>
  </si>
  <si>
    <t>Gips</t>
  </si>
  <si>
    <t>Boverket (2023a), Resurs-ID 6000000020</t>
  </si>
  <si>
    <t>Återbrukat material</t>
  </si>
  <si>
    <t>TEST</t>
  </si>
  <si>
    <t>d</t>
  </si>
  <si>
    <t>Eget värde/EPD</t>
  </si>
  <si>
    <t>Listor m.m.</t>
  </si>
  <si>
    <t>Sverige</t>
  </si>
  <si>
    <t>Bränsleförbrukning</t>
  </si>
  <si>
    <t>Schablon kWh/m2</t>
  </si>
  <si>
    <t>per år</t>
  </si>
  <si>
    <t>per dag</t>
  </si>
  <si>
    <t>Norden</t>
  </si>
  <si>
    <t>Sten och betong</t>
  </si>
  <si>
    <t>Fjärrvärme (Svensk)</t>
  </si>
  <si>
    <t>kWh/m2</t>
  </si>
  <si>
    <t>Energistatistik för flerbostadshus 2016</t>
  </si>
  <si>
    <t>Övriga Europa</t>
  </si>
  <si>
    <t>Elvärme</t>
  </si>
  <si>
    <t>Kina</t>
  </si>
  <si>
    <t>Tåg</t>
  </si>
  <si>
    <t>Driftel</t>
  </si>
  <si>
    <t xml:space="preserve">Antaget att 20 % av total elkonsumption är driftel. Övriga 80 % till uppvärmning. </t>
  </si>
  <si>
    <t>Thailand</t>
  </si>
  <si>
    <t>Fjärrvärme (SE)</t>
  </si>
  <si>
    <t>NTM</t>
  </si>
  <si>
    <t>https://www.transportmeasures.org/en/wiki/evaluation-transport-suppliers/</t>
  </si>
  <si>
    <t>Vägtransport</t>
  </si>
  <si>
    <t>GLOBAL</t>
  </si>
  <si>
    <t>EUROPA</t>
  </si>
  <si>
    <t>50-60 t</t>
  </si>
  <si>
    <t>34-40 t</t>
  </si>
  <si>
    <t>20-26 t</t>
  </si>
  <si>
    <t>7,5-12 t</t>
  </si>
  <si>
    <t>&lt;7,5 t</t>
  </si>
  <si>
    <t>&lt;3,5 t</t>
  </si>
  <si>
    <t>Medel [g/tkm]</t>
  </si>
  <si>
    <t>Medel [kg/tkm]</t>
  </si>
  <si>
    <t>https://www.transportmeasures.org/en/wiki/evaluation-transport-suppliers/air-cargo-transport-baselines-2020/</t>
  </si>
  <si>
    <t>Flygtransport - freight transport</t>
  </si>
  <si>
    <t>regional</t>
  </si>
  <si>
    <t xml:space="preserve">Continental </t>
  </si>
  <si>
    <t>intercontinental</t>
  </si>
  <si>
    <t>Tåg - Cargo</t>
  </si>
  <si>
    <t>Eltåg</t>
  </si>
  <si>
    <t>https://www.transportmeasures.org/en/wiki/evaluation-transport-suppliers/rail-cargo-transport-baselines/</t>
  </si>
  <si>
    <t>630 m</t>
  </si>
  <si>
    <t>730 m</t>
  </si>
  <si>
    <t>medel [g/tkm]</t>
  </si>
  <si>
    <t>Antaget 80 % el, 20 % diesel</t>
  </si>
  <si>
    <t>kg CO2e/tkm</t>
  </si>
  <si>
    <t>Sjötransport</t>
  </si>
  <si>
    <t>https://www.transportmeasures.org/en/wiki/evaluation-transport-suppliers/sea-cargo-transport-baselines-2020/</t>
  </si>
  <si>
    <t>Bulk carrier coastal</t>
  </si>
  <si>
    <t>Design speed</t>
  </si>
  <si>
    <t>Slow steaming</t>
  </si>
  <si>
    <t>Bulk Overseas</t>
  </si>
  <si>
    <t>Container 100 TEU (IWW)</t>
  </si>
  <si>
    <t>Container 600 TEU</t>
  </si>
  <si>
    <t>Container feeder 1000 TEU</t>
  </si>
  <si>
    <t>Container 6000-12000 TEU</t>
  </si>
  <si>
    <t>Container 14000-18000 TEU</t>
  </si>
  <si>
    <t>Container 18000-25000 TEU</t>
  </si>
  <si>
    <t>Övriga faktorer</t>
  </si>
  <si>
    <t>Kommentar</t>
  </si>
  <si>
    <t>Faktor för bränslepåslag per vikt</t>
  </si>
  <si>
    <t xml:space="preserve">% extra bränsleförbrukning per kg </t>
  </si>
  <si>
    <r>
      <rPr>
        <b/>
        <sz val="16"/>
        <color theme="1"/>
        <rFont val="Calibri"/>
        <family val="2"/>
        <scheme val="minor"/>
      </rPr>
      <t>Övergripande information</t>
    </r>
    <r>
      <rPr>
        <sz val="11"/>
        <color theme="1"/>
        <rFont val="Calibri"/>
        <family val="2"/>
        <scheme val="minor"/>
      </rPr>
      <t xml:space="preserve">
Syftet med beräkningsverktyget är att översiktligt beräkna klimatpåverkan från specifika konstverk för Uppsala kommun. Resultaten redovisas i total klimatpåverkan för produktion, transport, installation för ett specifikt konstverk samt påverkan från ett års drift och underhåll. Resultaten återspeglar endast påverkanskategorin global uppvärmningspotential (GWP-GHG) och anges i kilo koldioxidekvivalenter (kg CO2e), detta utgör endast en av flera påverkanskategorier. 
Beräkningsverktyget är utvecklat av Tyréns Sverige AB (2023). </t>
    </r>
  </si>
  <si>
    <r>
      <rPr>
        <b/>
        <sz val="16"/>
        <color theme="1"/>
        <rFont val="Calibri"/>
        <family val="2"/>
        <scheme val="minor"/>
      </rPr>
      <t>Metod</t>
    </r>
    <r>
      <rPr>
        <sz val="11"/>
        <color theme="1"/>
        <rFont val="Calibri"/>
        <family val="2"/>
        <scheme val="minor"/>
      </rPr>
      <t xml:space="preserve">
Livscykelanalys (LCA) är en metod för att visualisera och kvantifiera miljöpåverkan från alla faser i en produkts eller tjänsts livscykel. LCA baseras på en funktionell enhet till vilken all miljöpåverkan kvantifieras. En LCA ger inte en fullständig bild av miljöpåverkan från en produkt eller tjänst utan snarare en allmän översikt. Precisionen i en LCA studie ökar med användningen av specifika data, exempelvis från så kallade miljövarudeklarationer (EPD). Resultaten från en LCA studie är relativa påståenden och de förutsäger inte påverkan på kategori-slutpunkter, överskridande av tröskelvärden, säkerhetsmarginaler och risker. I figur 1 visas det arbetssätt som används vid livscykelanalyser enligt ISO 14040. Först bestäms målet med livscykelanalysen och i samband med det fastställs en deklarerad/funktionell enhet tillsammans med systemgränser. Detaljnivå och avgränsningar ska motsvara syftet och avsedd publik. Djupet och utformningen av en LCA skiljer sig avsevärt beroende på målet med analysen. Denna LCA analys omfattar enbart fossil klimatpåverkan enligt påverkanskategorien GWP-GHG.</t>
    </r>
  </si>
  <si>
    <t>Figur 1. LCA enligt ISO 14040.</t>
  </si>
  <si>
    <r>
      <t xml:space="preserve">Mål och omfattning
</t>
    </r>
    <r>
      <rPr>
        <sz val="11"/>
        <color theme="1"/>
        <rFont val="Calibri"/>
        <family val="2"/>
        <scheme val="minor"/>
      </rPr>
      <t>Målet med beräkningsverktyget är att på ett översiktligt sätt kvantifiera den fossila klimatpåverkan (GWP-GHG) för tillverkningen, transporten, installationen av ett konstverk samt påverkan från dess drift under ett år.</t>
    </r>
    <r>
      <rPr>
        <b/>
        <sz val="11"/>
        <color theme="1"/>
        <rFont val="Calibri"/>
        <family val="2"/>
        <scheme val="minor"/>
      </rPr>
      <t xml:space="preserve"> 
</t>
    </r>
    <r>
      <rPr>
        <sz val="11"/>
        <color theme="1"/>
        <rFont val="Calibri"/>
        <family val="2"/>
        <scheme val="minor"/>
      </rPr>
      <t xml:space="preserve">Systemgränser för analysen har fastställts till produktionen av material till konstverket samt eventuell behandling av materialen, transporten av material från leverantör till slutligt förvar, klimatpåverkan från ett års drift och underhåll av konstverket ingår även. Avfallshantering vid konstverkets slutskede (end-of-life) ingår inte i studiens omfattning. Infrastruktur, såsom vägar och byggnader för materialtillverkningen ingår inte i studiens omfattning. I figur 2 samt tabell 1 redovisas studiens omfattning.
</t>
    </r>
  </si>
  <si>
    <t xml:space="preserve">Figur 2. Systemgränser för klimatberäkningsverktyget. </t>
  </si>
  <si>
    <t>Tabell 1. Systemgränser för klimatberäkningsverktyget.</t>
  </si>
  <si>
    <t>Livscykelfaser</t>
  </si>
  <si>
    <t>Inkluderat</t>
  </si>
  <si>
    <t>Exkluderat</t>
  </si>
  <si>
    <t>Materialproduktion</t>
  </si>
  <si>
    <t>- Utvinning av råmaterial
- Transport till fabriksgrind
- Materialproduktionsprocesser</t>
  </si>
  <si>
    <t xml:space="preserve"> - Transport från fabriksgrind till lokal för slutförvar.</t>
  </si>
  <si>
    <t>- Arbetsmoment vid installation av konstverket</t>
  </si>
  <si>
    <t>Ev. spill på byggplats.</t>
  </si>
  <si>
    <t>- Energikrävande drift
- Ommålning
- Transport</t>
  </si>
  <si>
    <t xml:space="preserve"> - Reparationer
- Mindre underhåll, exempelvis städning</t>
  </si>
  <si>
    <t>Slutskede</t>
  </si>
  <si>
    <t>-</t>
  </si>
  <si>
    <t>- Transport till avfallsanläggning
- Avfallshantering</t>
  </si>
  <si>
    <r>
      <t xml:space="preserve">Datakällor och datakvalitet
</t>
    </r>
    <r>
      <rPr>
        <sz val="11"/>
        <color theme="1"/>
        <rFont val="Calibri"/>
        <family val="2"/>
        <scheme val="minor"/>
      </rPr>
      <t>Underlag avseende emissionsfaktorer för beräkningsverktyget utgår ifrån så kallade generiska data. Med generiska data avses data som inte är specifikt framtagen för individuella produkter utan ämnar ge en generell bild av miljöpåverkan från en produktgrupp snarare än en specifik produkt. Datakällor för respektive emissionsfaktor kan utläsas i fliken ”Emissionsfaktorer” och referenser finns sammanställda under fliken ”Referenser”. Generellt har utgångspunkten varit att inhämta datakällor från öppna databaser som tillhandahåller kvalitetsgranskade data, som exempelvis Boverkets klimatdatabas, Network for transport measures (NTM) eller Trafikverkets klimatkalkyl. Där sådan data inte har funnits att tillgå har information eftersökts i vetenskapliga artiklar och rapporter. 
Det är viktigt att notera att verktygets mål och syfte är att ge en översiktlig bild av vilken klimatpåverkan (GWP-GHG) som de konstverk som matas in i verktyget kan tänkas medföra. 
En LCA innehåller alltid osäkerheter och emissionsfaktorer för olika material kan variera beroende på rad olika faktorer som till exempel produktionsmetoder, energikällor och transportavstånd. Ett sådant exempel är produktion av bomullstyg som har en relativt hög klimatpåverkan per kg material. Beroende på faktorer som produktionsland och energimix som används i framställningsprocessen kan klimatpåverkan variera mellan ca 10 kg CO2e per kg material till upp till ca 30 kg CO2e per kg material. Många av materialen motsvarar produktion enligt svenska förhållanden, där majoriteten av produktionen antingen sker inom Sverige eller i närområdet. För material där produktionen kräver stora mängder energi blir geografin för vilket materialet tillverkas i ofta avgörande för dess klimatavtryck.</t>
    </r>
  </si>
  <si>
    <r>
      <t xml:space="preserve">Beräkningsverktygets struktur och upplägg
</t>
    </r>
    <r>
      <rPr>
        <sz val="11"/>
        <color theme="1"/>
        <rFont val="Calibri"/>
        <family val="2"/>
        <scheme val="minor"/>
      </rPr>
      <t xml:space="preserve">Beräkningsverktyget är ett Excel baserat verktyg som består av sex olika flikar, varav detta PM utgör ett av dem. Nedan följer en beskrivning av innehållet i beräkningsverktyget.
</t>
    </r>
    <r>
      <rPr>
        <b/>
        <sz val="11"/>
        <color theme="1"/>
        <rFont val="Calibri"/>
        <family val="2"/>
        <scheme val="minor"/>
      </rPr>
      <t xml:space="preserve">Indata
</t>
    </r>
    <r>
      <rPr>
        <sz val="11"/>
        <color theme="1"/>
        <rFont val="Calibri"/>
        <family val="2"/>
        <scheme val="minor"/>
      </rPr>
      <t xml:space="preserve">Under denna flik sammanställs indata till beräkningen. I ett första steg väljs de material som ingår i konstverket samt mängder för respektive material. Varje material tilldelas sedan en transport som kan bestå av en till tre deltransporter, för varje transport måste transportsätt och transportsträcka anges. Klimatpåverkan från materialen erhålls genom att emissionsfaktorn för respektive material multipliceras med mängden, angett i kg material. Klimatpåverkan från transporten erhålls genom att emissionsfaktorn för det transportsätt som angetts multipliceras med mängden material (kg) samt den valda transportsträckan. 
Klimatpåverkan från materialbearbetning beräknas på olika sätt beroende på materialbearbetningsmetod. Ifall materialbearbetningen kräver elektricitet multipliceras kWh som krävs för att utföra arbetet med en emissionsfaktor för elproduktion i den geografi som valts. I andra fall multipliceras emissionsfaktorn för det valda arbetet med mängden utfört arbete som matats in. 
</t>
    </r>
  </si>
  <si>
    <r>
      <t xml:space="preserve">
Anläggningsarbeten omfattar framförallt mer omfattande åtgärder som krävs vid installation av konstverket såsom schaktning, fyllning, rivning etc. Emissionsfaktorer för detta är frmförallt hämtat från Trafikverkets klimatkalkyl. Beräkningen multiplicerar emissionsfaktorn vald anläggningsåtgärd med den mängd som förts in i kalkylen. 
Klimatpåverkan från drift och underhåll omfattarenergikrävande utrustning under driftsfasen, exempelvis belysning. Då utrustningens effekt kommer att ha en stor inverkan på resultatet avseende driftens klimatpåverkan, krävs det även att man fyller i inom vilket spann utrustningens effekt ligger. Beräkningen multiplicerar antalet watt som angetts medantalet timmar som utrustningen körs per år. Resultatet av detta multipliceras sedan med emissionsfaktor för elproduktion i Norden. Verktyget innehåller även vissa andra drift och underhållsåtgärder såsom kranbil, ommålning etc. 
</t>
    </r>
    <r>
      <rPr>
        <b/>
        <sz val="11"/>
        <color theme="1"/>
        <rFont val="Calibri"/>
        <family val="2"/>
        <scheme val="minor"/>
      </rPr>
      <t>Rapport</t>
    </r>
    <r>
      <rPr>
        <sz val="11"/>
        <color theme="1"/>
        <rFont val="Calibri"/>
        <family val="2"/>
        <scheme val="minor"/>
      </rPr>
      <t xml:space="preserve">
Denna flik redovisar resultaten från beräkningarna genom grafer och en kortare beskrivande text. Användaren av verktyget kan konvertera resultaten till PDF genom att välja ”Spara som-funktionen” och sedan välja PDF.
</t>
    </r>
    <r>
      <rPr>
        <b/>
        <sz val="11"/>
        <color theme="1"/>
        <rFont val="Calibri"/>
        <family val="2"/>
        <scheme val="minor"/>
      </rPr>
      <t xml:space="preserve">Emissionsfaktorer
</t>
    </r>
    <r>
      <rPr>
        <sz val="11"/>
        <color theme="1"/>
        <rFont val="Calibri"/>
        <family val="2"/>
        <scheme val="minor"/>
      </rPr>
      <t xml:space="preserve">Under denna flik redovisas samtliga emissionsfaktorer samt annan bakgrundsdata som används i beräkningsverktyget. Här finns även möjlighet att ange egna värden från EPD:er eller egna källor.
</t>
    </r>
    <r>
      <rPr>
        <b/>
        <sz val="11"/>
        <color theme="1"/>
        <rFont val="Calibri"/>
        <family val="2"/>
        <scheme val="minor"/>
      </rPr>
      <t xml:space="preserve">Transportdata
</t>
    </r>
    <r>
      <rPr>
        <sz val="11"/>
        <color theme="1"/>
        <rFont val="Calibri"/>
        <family val="2"/>
        <scheme val="minor"/>
      </rPr>
      <t xml:space="preserve">Emissionsfaktorer från transporter som ingår i beräkningsverktyget hämtas från Network for transport measures (NTM).  Emissionsfaktorer som samlas in från NTM följer den europeiska standarden EN 16258. NTM är en ideell organisation vars mål är att etablera en gemensam utgångspunkt för hur man beräknar miljöprestanda för olika trafikslag, inklusive godstransporter. NTM-databasen innehåller emissionsfaktorer för olika storlekar och typer av respektive transportsätt. Under denna flik redovisas medelvärden för respektive transportslag. Det är dessa medelvärden som används som emissionsfaktorer i beräkningsverktyget. För personbilstransporter är data hämtat från energimyndghetens rapport "Drivmedel 2020" (Energimyndigheten, 2021).
</t>
    </r>
    <r>
      <rPr>
        <b/>
        <sz val="11"/>
        <color theme="1"/>
        <rFont val="Calibri"/>
        <family val="2"/>
        <scheme val="minor"/>
      </rPr>
      <t xml:space="preserve">PM
</t>
    </r>
    <r>
      <rPr>
        <sz val="11"/>
        <color theme="1"/>
        <rFont val="Calibri"/>
        <family val="2"/>
        <scheme val="minor"/>
      </rPr>
      <t xml:space="preserve">PM innehåller en sammanfattande beskrivning av syfte och mål med beräkningsverktyget, övergripande struktur och beräkningsförfarande samt antaganden i verktyget. 
</t>
    </r>
    <r>
      <rPr>
        <b/>
        <sz val="11"/>
        <color theme="1"/>
        <rFont val="Calibri"/>
        <family val="2"/>
        <scheme val="minor"/>
      </rPr>
      <t>Referenser</t>
    </r>
    <r>
      <rPr>
        <sz val="11"/>
        <color theme="1"/>
        <rFont val="Calibri"/>
        <family val="2"/>
        <scheme val="minor"/>
      </rPr>
      <t xml:space="preserve">
Sammanställning av de informationskällor som använts som underlag till emissionsfaktorer och övriga underlagsdata.</t>
    </r>
  </si>
  <si>
    <t>Antaganden i verktyget</t>
  </si>
  <si>
    <t xml:space="preserve">I följande avsnitt redovisas antaganden i verktyget.
- Då EPD:er (miljövarudeklarationer) använts som underlag för emissionsfaktor har ett konservativt påslag motsvarande 25 % av materialets klimatpåverkan (GWP-GHG) adderats. Anledningen är att EPD:er ofta redovisar en generellt sett lägre miljöpåverkan än en typisk produkt på marknaden. Det konservativa påslaget om 25 % är samma som Boverket använder vid klimatdeklarationer.  
- För beräkning av transporter med personbil har att endast en person färdas i bilen. Vidare har vikten på materialet som transporteras antagits medföra 5 % extra bränsleförbrukning per 100 kg (Gröna bilister, 2023). Samma antagande gäller för elbil.
- Beräkning för potentiell kolinlagring i stadsträd utgår ifrån ett nyplanterat träd med en ålder av 15 år enligt rapporten "Potentiella kolsänkor i Malmö stad" (Råberg et.al, 2022).
- Klimatpåverkan från flygresor för personer (ej material) är hämtat från rapporten "Metodrapport för www.klimatsmartsemester.se. Version 3.0" (Larsson &amp; Kamb, 2022). Värt att notera är att klimatpåverkan från flygtrafiken beror på ett stort antal faktorer som t.ex. flygsträcka, flyghöjd, väder, hastighet och val av flygplansklass.
- Klimatpåverkan för personbil + släpvagn bygger på antagandet att varje 100 kg motsvarar 5 % extra bränsleförbrukning (Gröna bilister, 2023). Släpvagnen antas ha en tjänstevikt motsvarande 300 kg. Släpvagnen antas därmed medföra 15 % högre klimatpåverkan jämfört med enbart personbil. Transporterat material antas medföra 5 % extra bränsleförbrukning per 100 kg material enligt samma antagande. Samma antagande gäller för elbil.                                                                                                                                                                                                                                                                                                                                                                                        </t>
  </si>
  <si>
    <t xml:space="preserve">Versionshantering </t>
  </si>
  <si>
    <t>Referenser</t>
  </si>
  <si>
    <t>Abdelshafy et.al (2022). A Feasibility Study to Minimize the Carbon Footprint of Cast Iron Production While Maintaining the Technical Requirements. Journal of Sustainable Metallurgy (2023) 9:249–265. https://doi.org/10.1007/s40831-022-00642-5</t>
  </si>
  <si>
    <t>Boverket (2023a). Boverkets klimatdatabas, version 02.04.000. Uppdaterad 2023-01-24. https://www.boverket.se/sv/klimatdeklaration/klimatdatabas/klimatdatabas/</t>
  </si>
  <si>
    <t>Boverket (2023b). Gränsvärden för byggnaders klimatpåverkan. Rapport 2023:20. Boverket, maj 2023.</t>
  </si>
  <si>
    <t>BM (2023). Byggsektorns miljöberäkningsverktyg. IVL. Hämtat 2023-04-20.</t>
  </si>
  <si>
    <t>International Aluminium (2021). Greenhouse Gas Emissions Intensity- Primary Aluminium. Hämtat 2023-03-27. https://international-aluminium.org/statistics/greenhouse-gas-emissions-intensity-primary-aluminium/</t>
  </si>
  <si>
    <t>BGR (2020). Bundesanstalt fur Geowissenschaften und Rohstoffe. Tin Sustainability information. July 2020</t>
  </si>
  <si>
    <t xml:space="preserve">CO2data.fi (2023). Klimatdatabas. Version 1.00.008, 2022-12-06. https://co2data.fi/rakentaminen/ </t>
  </si>
  <si>
    <t xml:space="preserve">Energimyndigheten. (2021). Drivmedel 2020. Redovisning av rapporterade uppgifter enligt drivmedelslagen, hållbarhetslagen och reduktionsplikten. ER 2021:29 (ER2017:12).  </t>
  </si>
  <si>
    <t>Fishwick et. al (2012). A Carbon Footprint for UK Clothing and Opportunities for Savings. WRAP Material change for a better envrionment. July 2012.</t>
  </si>
  <si>
    <t>Gjuteriföreningen (2020). Klimatpåverkan av gjutgods. 2020-001</t>
  </si>
  <si>
    <t>Gröna bilister (2023). Last, takbox och släpvagn. Hämtat: 2023-09-14. https://gronamobilister.se/miljo-mobilitet/bil/last-takbox-och-slapvagn/</t>
  </si>
  <si>
    <t>Husqvarna (2023). Petrol Chainsaws HUSQVARNA 445 II. Hämtat: 2023-05-03. https://www.husqvarna.com/uk/chainsaws/445ii/</t>
  </si>
  <si>
    <t>IGES (2022). IGES GHG Emissions Database. Hämtad 2023-03-10. https://www.iges.or.jp/en/pub/iges-ghg-emissions-data-0/en</t>
  </si>
  <si>
    <t xml:space="preserve">IVL. Byggsektorns miljöberäkningsverktyg. Version 4.3. </t>
  </si>
  <si>
    <t>IVL (2013). Generell byggproduktinformation (BPI) för bygg- och fastighetssektorn: Miljödata för arbetsfordon. Martin Erlandsson, 2013-02-22, dokument BPI 13/1 .</t>
  </si>
  <si>
    <t>IVL (2017). Lindholmshamnen som hållbar stadsdel. Ryberg Henriksson, A., Larsson, M &amp; Wranne, J. Rapportnr: B2273. ISBN:978-91-88319-39-5</t>
  </si>
  <si>
    <t>Jämtkraft (2023).Vad får du för en kWh?. Hämtat 2023-05-03. https://www.jamtkraft.se/privat/elavtal/energimarknaden/vad-far-du-for-en-kwh/</t>
  </si>
  <si>
    <t>Larsson &amp; Kamb (2022). Metodrapport för www.klimatsmartsemester.se. Version 3.0. Institutionen för Rymd-, geo- och miljövetenskap. Avdelningen för fysisk resursteori. CHALMERS TEKNISKA HÖGSKOLA. Göteborg, 2022</t>
  </si>
  <si>
    <t xml:space="preserve">Moro, A &amp; Lonza, L (2018). Electric carbon intensity in European Member States: Impact on GHG emissions of electric vehicles. Transportation Research Part D 64 (2018) 5-14. </t>
  </si>
  <si>
    <t>NTM (2023). Network for transport measures. Default and benchmark transport data. Hämtat 2023-03-08. https://www.transportmeasures.org/en/wiki/evaluation-transport-suppliers/</t>
  </si>
  <si>
    <t>Råberg et.al (2022). Potentiella kolsänkor i Malmö stad. Miljöförvaltningen Malmö stad. 2022-04-07.</t>
  </si>
  <si>
    <t>SMED (2021). Emissionsfaktor för nordisk elmix med hänsyn till import och export . SMED Rapport Nr 4  2021</t>
  </si>
  <si>
    <t>Statens energimyndighet (2016). Energistatisktik för flerbostadshus 2016. ES 2017:4. ISSN 1654-7543.</t>
  </si>
  <si>
    <t>Trafikverket klimatkalkyl. version 7.0. https://klimatkalkyl.trafikverket.se/</t>
  </si>
  <si>
    <t>USP&amp;E (2023). Power Consumption Chart for tools. Hämtat 2023-05-03. https://www.uspowerco.com/articles/power_consumption_chart_for_tools</t>
  </si>
  <si>
    <t>Klimatberäkningen av transport av konstverk till utställningsplats är uppdaterad för alla personbilar och personbilar med släp.</t>
  </si>
  <si>
    <t>2024-09-19 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</si>
</sst>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00"/>
    <numFmt numFmtId="166" formatCode="0.0"/>
    <numFmt numFmtId="167" formatCode="0.00000"/>
  </numFmts>
  <fonts count="13" x14ac:knownFonts="1">
    <font>
      <sz val="11"/>
      <color theme="1"/>
      <name val="Calibri"/>
      <family val="2"/>
      <scheme val="minor"/>
    </font>
    <font>
      <b/>
      <sz val="11"/>
      <color theme="1"/>
      <name val="Calibri"/>
      <family val="2"/>
      <scheme val="minor"/>
    </font>
    <font>
      <sz val="11"/>
      <name val="Calibri"/>
      <family val="2"/>
    </font>
    <font>
      <b/>
      <sz val="14"/>
      <color theme="1"/>
      <name val="Calibri"/>
      <family val="2"/>
      <scheme val="minor"/>
    </font>
    <font>
      <sz val="8"/>
      <name val="Calibri"/>
      <family val="2"/>
      <scheme val="minor"/>
    </font>
    <font>
      <u/>
      <sz val="11"/>
      <color theme="10"/>
      <name val="Calibri"/>
      <family val="2"/>
      <scheme val="minor"/>
    </font>
    <font>
      <sz val="11"/>
      <color theme="1"/>
      <name val="Calibri"/>
      <family val="2"/>
      <scheme val="minor"/>
    </font>
    <font>
      <sz val="22"/>
      <color theme="1"/>
      <name val="Arial"/>
      <family val="2"/>
    </font>
    <font>
      <sz val="12"/>
      <color rgb="FF434343"/>
      <name val="Open Sans"/>
      <family val="2"/>
    </font>
    <font>
      <b/>
      <sz val="18"/>
      <color theme="1"/>
      <name val="Calibri"/>
      <family val="2"/>
      <scheme val="minor"/>
    </font>
    <font>
      <b/>
      <sz val="16"/>
      <color theme="1"/>
      <name val="Calibri"/>
      <family val="2"/>
      <scheme val="minor"/>
    </font>
    <font>
      <sz val="8"/>
      <color theme="1"/>
      <name val="Calibri"/>
      <family val="2"/>
      <scheme val="minor"/>
    </font>
    <font>
      <sz val="16"/>
      <color theme="1"/>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00555C"/>
        <bgColor indexed="64"/>
      </patternFill>
    </fill>
    <fill>
      <patternFill patternType="solid">
        <fgColor rgb="FFA6CF38"/>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rgb="FFFFFF00"/>
        <bgColor indexed="64"/>
      </patternFill>
    </fill>
    <fill>
      <patternFill patternType="solid">
        <fgColor theme="5"/>
        <bgColor indexed="64"/>
      </patternFill>
    </fill>
    <fill>
      <patternFill patternType="solid">
        <fgColor rgb="FFFFC000"/>
        <bgColor indexed="64"/>
      </patternFill>
    </fill>
  </fills>
  <borders count="34">
    <border>
      <left/>
      <right/>
      <top/>
      <bottom/>
      <diagonal/>
    </border>
    <border>
      <left style="thin">
        <color theme="6"/>
      </left>
      <right style="thin">
        <color theme="6"/>
      </right>
      <top style="thin">
        <color theme="6"/>
      </top>
      <bottom style="thin">
        <color theme="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2" fillId="0" borderId="0"/>
    <xf numFmtId="0" fontId="5" fillId="0" borderId="0" applyNumberFormat="0" applyFill="0" applyBorder="0" applyAlignment="0" applyProtection="0"/>
    <xf numFmtId="9" fontId="6" fillId="0" borderId="0" applyFont="0" applyFill="0" applyBorder="0" applyAlignment="0" applyProtection="0"/>
  </cellStyleXfs>
  <cellXfs count="206">
    <xf numFmtId="0" fontId="0" fillId="0" borderId="0" xfId="0"/>
    <xf numFmtId="0" fontId="1" fillId="0" borderId="0" xfId="0" applyFont="1"/>
    <xf numFmtId="0" fontId="1" fillId="0" borderId="2" xfId="0" applyFont="1" applyBorder="1"/>
    <xf numFmtId="0" fontId="0" fillId="0" borderId="3" xfId="0" applyBorder="1"/>
    <xf numFmtId="0" fontId="0" fillId="0" borderId="4" xfId="0" applyBorder="1"/>
    <xf numFmtId="0" fontId="1" fillId="0" borderId="5" xfId="0" applyFont="1" applyBorder="1"/>
    <xf numFmtId="0" fontId="0" fillId="0" borderId="6" xfId="0" applyBorder="1"/>
    <xf numFmtId="0" fontId="0" fillId="0" borderId="5" xfId="0" applyBorder="1"/>
    <xf numFmtId="0" fontId="0" fillId="2" borderId="5" xfId="0" applyFill="1" applyBorder="1"/>
    <xf numFmtId="166" fontId="0" fillId="2" borderId="0" xfId="0" applyNumberFormat="1" applyFill="1"/>
    <xf numFmtId="0" fontId="0" fillId="2" borderId="7" xfId="0" applyFill="1" applyBorder="1"/>
    <xf numFmtId="164" fontId="0" fillId="2" borderId="8" xfId="0" applyNumberFormat="1" applyFill="1" applyBorder="1"/>
    <xf numFmtId="0" fontId="0" fillId="0" borderId="8" xfId="0" applyBorder="1"/>
    <xf numFmtId="0" fontId="0" fillId="0" borderId="9" xfId="0" applyBorder="1"/>
    <xf numFmtId="0" fontId="0" fillId="2" borderId="0" xfId="0" applyFill="1"/>
    <xf numFmtId="0" fontId="0" fillId="0" borderId="7" xfId="0" applyBorder="1"/>
    <xf numFmtId="0" fontId="1" fillId="0" borderId="3" xfId="0" applyFont="1" applyBorder="1"/>
    <xf numFmtId="0" fontId="5" fillId="0" borderId="0" xfId="2"/>
    <xf numFmtId="0" fontId="2" fillId="0" borderId="1" xfId="1" applyBorder="1" applyAlignment="1">
      <alignment wrapText="1"/>
    </xf>
    <xf numFmtId="0" fontId="0" fillId="3" borderId="0" xfId="0" applyFill="1"/>
    <xf numFmtId="0" fontId="0" fillId="0" borderId="0" xfId="0" applyAlignment="1">
      <alignment wrapText="1"/>
    </xf>
    <xf numFmtId="0" fontId="9" fillId="0" borderId="0" xfId="0" applyFont="1" applyAlignment="1">
      <alignment wrapText="1"/>
    </xf>
    <xf numFmtId="0" fontId="10" fillId="3" borderId="0" xfId="0" applyFont="1" applyFill="1" applyAlignment="1">
      <alignment vertical="top"/>
    </xf>
    <xf numFmtId="0" fontId="11" fillId="3" borderId="0" xfId="0" applyFont="1" applyFill="1" applyAlignment="1">
      <alignment vertical="top"/>
    </xf>
    <xf numFmtId="0" fontId="0" fillId="3" borderId="0" xfId="0" applyFill="1" applyAlignment="1">
      <alignment horizontal="left" wrapText="1"/>
    </xf>
    <xf numFmtId="0" fontId="0" fillId="3" borderId="10" xfId="0" applyFill="1" applyBorder="1" applyProtection="1">
      <protection locked="0"/>
    </xf>
    <xf numFmtId="0" fontId="1" fillId="3" borderId="10" xfId="0" applyFont="1" applyFill="1" applyBorder="1" applyProtection="1">
      <protection locked="0"/>
    </xf>
    <xf numFmtId="0" fontId="11" fillId="3" borderId="0" xfId="0" applyFont="1" applyFill="1" applyAlignment="1">
      <alignment horizontal="left"/>
    </xf>
    <xf numFmtId="0" fontId="3" fillId="5" borderId="10" xfId="0" applyFont="1" applyFill="1" applyBorder="1" applyAlignment="1">
      <alignment wrapText="1"/>
    </xf>
    <xf numFmtId="0" fontId="0" fillId="4" borderId="0" xfId="0" applyFill="1"/>
    <xf numFmtId="166" fontId="0" fillId="4" borderId="0" xfId="0" applyNumberFormat="1" applyFill="1"/>
    <xf numFmtId="0" fontId="1" fillId="4" borderId="0" xfId="0" applyFont="1" applyFill="1"/>
    <xf numFmtId="0" fontId="3" fillId="4" borderId="0" xfId="0" applyFont="1" applyFill="1" applyAlignment="1">
      <alignment wrapText="1"/>
    </xf>
    <xf numFmtId="0" fontId="0" fillId="6" borderId="0" xfId="0" applyFill="1"/>
    <xf numFmtId="0" fontId="1" fillId="6" borderId="10" xfId="0" applyFont="1" applyFill="1" applyBorder="1"/>
    <xf numFmtId="166" fontId="1" fillId="6" borderId="10" xfId="0" applyNumberFormat="1" applyFont="1" applyFill="1" applyBorder="1"/>
    <xf numFmtId="2" fontId="1" fillId="6" borderId="10" xfId="0" applyNumberFormat="1" applyFont="1" applyFill="1" applyBorder="1"/>
    <xf numFmtId="9" fontId="1" fillId="6" borderId="10" xfId="0" applyNumberFormat="1" applyFont="1" applyFill="1" applyBorder="1"/>
    <xf numFmtId="0" fontId="0" fillId="6" borderId="10" xfId="0" applyFill="1" applyBorder="1"/>
    <xf numFmtId="166" fontId="0" fillId="6" borderId="10" xfId="3" applyNumberFormat="1" applyFont="1" applyFill="1" applyBorder="1"/>
    <xf numFmtId="0" fontId="0" fillId="6" borderId="12" xfId="0" applyFill="1" applyBorder="1"/>
    <xf numFmtId="0" fontId="0" fillId="7" borderId="10" xfId="0" applyFill="1" applyBorder="1"/>
    <xf numFmtId="0" fontId="1" fillId="7" borderId="10" xfId="0" applyFont="1" applyFill="1" applyBorder="1"/>
    <xf numFmtId="0" fontId="0" fillId="0" borderId="10" xfId="0" applyBorder="1"/>
    <xf numFmtId="0" fontId="0" fillId="0" borderId="10" xfId="0" applyBorder="1" applyAlignment="1">
      <alignment wrapText="1"/>
    </xf>
    <xf numFmtId="164" fontId="0" fillId="0" borderId="10" xfId="0" applyNumberFormat="1" applyBorder="1"/>
    <xf numFmtId="0" fontId="1" fillId="0" borderId="10" xfId="0" applyFont="1" applyBorder="1"/>
    <xf numFmtId="0" fontId="0" fillId="7" borderId="11" xfId="0" applyFill="1" applyBorder="1"/>
    <xf numFmtId="0" fontId="1" fillId="7" borderId="11" xfId="0" applyFont="1" applyFill="1" applyBorder="1"/>
    <xf numFmtId="0" fontId="0" fillId="0" borderId="11" xfId="0" applyBorder="1"/>
    <xf numFmtId="0" fontId="1" fillId="0" borderId="11" xfId="0" applyFont="1" applyBorder="1"/>
    <xf numFmtId="0" fontId="2" fillId="0" borderId="10" xfId="1" applyBorder="1"/>
    <xf numFmtId="0" fontId="2" fillId="0" borderId="11" xfId="1" applyBorder="1" applyAlignment="1">
      <alignment wrapText="1"/>
    </xf>
    <xf numFmtId="0" fontId="2" fillId="0" borderId="11" xfId="1" applyBorder="1"/>
    <xf numFmtId="0" fontId="2" fillId="0" borderId="11" xfId="1" applyBorder="1" applyAlignment="1">
      <alignment horizontal="left" vertical="top" wrapText="1"/>
    </xf>
    <xf numFmtId="0" fontId="8" fillId="0" borderId="10" xfId="0" applyFont="1" applyBorder="1"/>
    <xf numFmtId="0" fontId="1" fillId="7" borderId="17" xfId="0" applyFont="1" applyFill="1" applyBorder="1"/>
    <xf numFmtId="0" fontId="0" fillId="0" borderId="17" xfId="0" applyBorder="1"/>
    <xf numFmtId="0" fontId="8" fillId="0" borderId="17" xfId="0" applyFont="1" applyBorder="1"/>
    <xf numFmtId="0" fontId="1" fillId="0" borderId="17" xfId="0" applyFont="1" applyBorder="1"/>
    <xf numFmtId="0" fontId="0" fillId="7" borderId="11" xfId="0" applyFill="1" applyBorder="1" applyAlignment="1">
      <alignment wrapText="1"/>
    </xf>
    <xf numFmtId="0" fontId="1" fillId="7" borderId="11" xfId="0" applyFont="1" applyFill="1" applyBorder="1" applyAlignment="1">
      <alignment wrapText="1"/>
    </xf>
    <xf numFmtId="0" fontId="0" fillId="0" borderId="11" xfId="0" applyBorder="1" applyAlignment="1">
      <alignment wrapText="1"/>
    </xf>
    <xf numFmtId="0" fontId="1" fillId="0" borderId="11" xfId="0" applyFont="1" applyBorder="1" applyAlignment="1">
      <alignment wrapText="1"/>
    </xf>
    <xf numFmtId="0" fontId="1" fillId="0" borderId="17" xfId="0" applyFont="1" applyBorder="1" applyAlignment="1">
      <alignment wrapText="1"/>
    </xf>
    <xf numFmtId="0" fontId="0" fillId="0" borderId="17" xfId="0" applyBorder="1" applyAlignment="1">
      <alignment wrapText="1"/>
    </xf>
    <xf numFmtId="165" fontId="0" fillId="0" borderId="11" xfId="0" applyNumberFormat="1" applyBorder="1"/>
    <xf numFmtId="165" fontId="0" fillId="0" borderId="11" xfId="0" applyNumberFormat="1" applyBorder="1" applyAlignment="1">
      <alignment wrapText="1"/>
    </xf>
    <xf numFmtId="0" fontId="10" fillId="0" borderId="17" xfId="0" applyFont="1" applyBorder="1"/>
    <xf numFmtId="0" fontId="10" fillId="7" borderId="17" xfId="0" applyFont="1" applyFill="1" applyBorder="1"/>
    <xf numFmtId="0" fontId="10" fillId="7" borderId="17" xfId="0" applyFont="1" applyFill="1" applyBorder="1" applyAlignment="1">
      <alignment wrapText="1"/>
    </xf>
    <xf numFmtId="0" fontId="1" fillId="7" borderId="17" xfId="0" applyFont="1" applyFill="1" applyBorder="1" applyAlignment="1">
      <alignment wrapText="1"/>
    </xf>
    <xf numFmtId="0" fontId="0" fillId="0" borderId="3" xfId="0" applyBorder="1" applyAlignment="1">
      <alignment horizontal="left"/>
    </xf>
    <xf numFmtId="0" fontId="1" fillId="0" borderId="0" xfId="0" applyFont="1" applyAlignment="1">
      <alignment horizontal="left"/>
    </xf>
    <xf numFmtId="0" fontId="0" fillId="0" borderId="0" xfId="0" applyAlignment="1">
      <alignment horizontal="left"/>
    </xf>
    <xf numFmtId="166" fontId="0" fillId="2" borderId="0" xfId="0" applyNumberFormat="1" applyFill="1" applyAlignment="1">
      <alignment horizontal="left"/>
    </xf>
    <xf numFmtId="164" fontId="0" fillId="2" borderId="8" xfId="0" applyNumberFormat="1" applyFill="1" applyBorder="1" applyAlignment="1">
      <alignment horizontal="left"/>
    </xf>
    <xf numFmtId="0" fontId="0" fillId="0" borderId="8" xfId="0" applyBorder="1" applyAlignment="1">
      <alignment horizontal="left"/>
    </xf>
    <xf numFmtId="0" fontId="1" fillId="0" borderId="3" xfId="0" applyFont="1" applyBorder="1" applyAlignment="1">
      <alignment horizontal="left"/>
    </xf>
    <xf numFmtId="0" fontId="0" fillId="2" borderId="0" xfId="0" applyFill="1" applyAlignment="1">
      <alignment horizontal="left"/>
    </xf>
    <xf numFmtId="164" fontId="0" fillId="2" borderId="0" xfId="0" applyNumberFormat="1" applyFill="1" applyAlignment="1">
      <alignment horizontal="left"/>
    </xf>
    <xf numFmtId="0" fontId="0" fillId="5" borderId="0" xfId="0" applyFill="1"/>
    <xf numFmtId="0" fontId="0" fillId="5" borderId="2" xfId="0" applyFill="1" applyBorder="1"/>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0" fillId="5" borderId="6" xfId="0" applyFill="1" applyBorder="1" applyAlignment="1">
      <alignment vertical="top" wrapText="1"/>
    </xf>
    <xf numFmtId="0" fontId="0" fillId="5" borderId="5" xfId="0" applyFill="1" applyBorder="1" applyAlignment="1">
      <alignment vertical="top" wrapText="1"/>
    </xf>
    <xf numFmtId="0" fontId="0" fillId="5" borderId="0" xfId="0" applyFill="1" applyAlignment="1">
      <alignment vertical="top" wrapText="1"/>
    </xf>
    <xf numFmtId="0" fontId="0" fillId="5" borderId="7" xfId="0" applyFill="1" applyBorder="1"/>
    <xf numFmtId="0" fontId="0" fillId="5" borderId="8" xfId="0" applyFill="1" applyBorder="1"/>
    <xf numFmtId="0" fontId="0" fillId="5" borderId="9" xfId="0" applyFill="1" applyBorder="1"/>
    <xf numFmtId="0" fontId="12" fillId="5" borderId="0" xfId="0" applyFont="1" applyFill="1" applyAlignment="1">
      <alignment vertical="top"/>
    </xf>
    <xf numFmtId="0" fontId="12" fillId="5" borderId="6" xfId="0" applyFont="1" applyFill="1" applyBorder="1" applyAlignment="1">
      <alignment vertical="top"/>
    </xf>
    <xf numFmtId="0" fontId="12" fillId="5" borderId="5" xfId="0" applyFont="1" applyFill="1" applyBorder="1" applyAlignment="1">
      <alignment vertical="top"/>
    </xf>
    <xf numFmtId="0" fontId="0" fillId="5" borderId="0" xfId="0" applyFill="1" applyAlignment="1">
      <alignment vertical="center" wrapText="1"/>
    </xf>
    <xf numFmtId="0" fontId="0" fillId="5" borderId="0" xfId="0" applyFill="1" applyAlignment="1">
      <alignment vertical="top"/>
    </xf>
    <xf numFmtId="0" fontId="0" fillId="5" borderId="8" xfId="0" applyFill="1" applyBorder="1" applyAlignment="1">
      <alignment vertical="top"/>
    </xf>
    <xf numFmtId="166" fontId="0" fillId="6" borderId="10" xfId="0" applyNumberFormat="1" applyFill="1" applyBorder="1"/>
    <xf numFmtId="0" fontId="10" fillId="7" borderId="12" xfId="0" applyFont="1" applyFill="1" applyBorder="1"/>
    <xf numFmtId="0" fontId="1" fillId="7" borderId="12" xfId="0" applyFont="1" applyFill="1" applyBorder="1"/>
    <xf numFmtId="0" fontId="0" fillId="0" borderId="12" xfId="0" applyBorder="1"/>
    <xf numFmtId="0" fontId="10" fillId="7" borderId="18" xfId="0" applyFont="1" applyFill="1" applyBorder="1"/>
    <xf numFmtId="0" fontId="0" fillId="7" borderId="19" xfId="0" applyFill="1" applyBorder="1"/>
    <xf numFmtId="0" fontId="1" fillId="7" borderId="18" xfId="0" applyFont="1" applyFill="1" applyBorder="1"/>
    <xf numFmtId="0" fontId="1" fillId="7" borderId="19" xfId="0" applyFont="1" applyFill="1" applyBorder="1"/>
    <xf numFmtId="0" fontId="0" fillId="0" borderId="18" xfId="0" applyBorder="1"/>
    <xf numFmtId="0" fontId="0" fillId="0" borderId="19" xfId="0" applyBorder="1"/>
    <xf numFmtId="1" fontId="1" fillId="3" borderId="10" xfId="0" applyNumberFormat="1" applyFont="1" applyFill="1" applyBorder="1" applyProtection="1">
      <protection locked="0"/>
    </xf>
    <xf numFmtId="0" fontId="3" fillId="10" borderId="10" xfId="0" applyFont="1" applyFill="1" applyBorder="1" applyAlignment="1">
      <alignment wrapText="1"/>
    </xf>
    <xf numFmtId="0" fontId="3" fillId="8" borderId="10" xfId="0" applyFont="1" applyFill="1" applyBorder="1" applyAlignment="1">
      <alignment wrapText="1"/>
    </xf>
    <xf numFmtId="0" fontId="1" fillId="0" borderId="10" xfId="0" applyFont="1" applyBorder="1" applyAlignment="1">
      <alignment wrapText="1"/>
    </xf>
    <xf numFmtId="0" fontId="3" fillId="5" borderId="18" xfId="0" applyFont="1" applyFill="1" applyBorder="1" applyAlignment="1">
      <alignment wrapText="1"/>
    </xf>
    <xf numFmtId="0" fontId="3" fillId="5" borderId="19" xfId="0" applyFont="1" applyFill="1" applyBorder="1" applyAlignment="1">
      <alignment wrapText="1"/>
    </xf>
    <xf numFmtId="0" fontId="1" fillId="0" borderId="30" xfId="0" applyFont="1" applyBorder="1" applyProtection="1">
      <protection locked="0"/>
    </xf>
    <xf numFmtId="1" fontId="1" fillId="0" borderId="31" xfId="0" applyNumberFormat="1" applyFont="1" applyBorder="1" applyProtection="1">
      <protection locked="0"/>
    </xf>
    <xf numFmtId="0" fontId="1" fillId="0" borderId="31" xfId="0" applyFont="1" applyBorder="1" applyProtection="1">
      <protection locked="0"/>
    </xf>
    <xf numFmtId="0" fontId="1" fillId="3" borderId="30" xfId="0" applyFont="1" applyFill="1" applyBorder="1" applyProtection="1">
      <protection locked="0"/>
    </xf>
    <xf numFmtId="0" fontId="1" fillId="3" borderId="31" xfId="0" applyFont="1" applyFill="1" applyBorder="1" applyProtection="1">
      <protection locked="0"/>
    </xf>
    <xf numFmtId="0" fontId="3" fillId="9" borderId="28" xfId="0" applyFont="1" applyFill="1" applyBorder="1" applyAlignment="1">
      <alignment vertical="top" wrapText="1"/>
    </xf>
    <xf numFmtId="0" fontId="3" fillId="9" borderId="32" xfId="0" applyFont="1" applyFill="1" applyBorder="1" applyAlignment="1">
      <alignment vertical="top" wrapText="1"/>
    </xf>
    <xf numFmtId="0" fontId="3" fillId="9" borderId="29" xfId="0" applyFont="1" applyFill="1" applyBorder="1" applyAlignment="1">
      <alignment vertical="top" wrapText="1"/>
    </xf>
    <xf numFmtId="0" fontId="1" fillId="3" borderId="18" xfId="0" applyFont="1" applyFill="1" applyBorder="1" applyProtection="1">
      <protection locked="0"/>
    </xf>
    <xf numFmtId="0" fontId="1" fillId="6" borderId="19" xfId="0" applyFont="1" applyFill="1" applyBorder="1"/>
    <xf numFmtId="0" fontId="1" fillId="3" borderId="18" xfId="0" applyFont="1" applyFill="1" applyBorder="1" applyAlignment="1" applyProtection="1">
      <alignment wrapText="1"/>
      <protection locked="0"/>
    </xf>
    <xf numFmtId="0" fontId="1" fillId="3" borderId="19" xfId="0" applyFont="1" applyFill="1" applyBorder="1" applyAlignment="1" applyProtection="1">
      <alignment wrapText="1"/>
      <protection locked="0"/>
    </xf>
    <xf numFmtId="0" fontId="1" fillId="3" borderId="30" xfId="0" applyFont="1" applyFill="1" applyBorder="1" applyAlignment="1" applyProtection="1">
      <alignment wrapText="1"/>
      <protection locked="0"/>
    </xf>
    <xf numFmtId="0" fontId="1" fillId="6" borderId="33" xfId="0" applyFont="1" applyFill="1" applyBorder="1"/>
    <xf numFmtId="1" fontId="1" fillId="3" borderId="19" xfId="0" applyNumberFormat="1" applyFont="1" applyFill="1" applyBorder="1" applyProtection="1">
      <protection locked="0"/>
    </xf>
    <xf numFmtId="0" fontId="1" fillId="5" borderId="5" xfId="0" applyFont="1" applyFill="1" applyBorder="1"/>
    <xf numFmtId="0" fontId="0" fillId="8" borderId="11" xfId="0" applyFill="1" applyBorder="1" applyProtection="1">
      <protection locked="0"/>
    </xf>
    <xf numFmtId="164" fontId="0" fillId="8" borderId="10" xfId="0" applyNumberFormat="1" applyFill="1" applyBorder="1" applyProtection="1">
      <protection locked="0"/>
    </xf>
    <xf numFmtId="0" fontId="0" fillId="8" borderId="10" xfId="0" applyFill="1" applyBorder="1" applyProtection="1">
      <protection locked="0"/>
    </xf>
    <xf numFmtId="166" fontId="1" fillId="3" borderId="10" xfId="0" applyNumberFormat="1" applyFont="1" applyFill="1" applyBorder="1" applyProtection="1">
      <protection locked="0"/>
    </xf>
    <xf numFmtId="49" fontId="0" fillId="6" borderId="10" xfId="0" applyNumberFormat="1" applyFill="1" applyBorder="1"/>
    <xf numFmtId="0" fontId="1" fillId="3" borderId="33" xfId="0" applyFont="1" applyFill="1" applyBorder="1" applyProtection="1">
      <protection locked="0"/>
    </xf>
    <xf numFmtId="166" fontId="1" fillId="3" borderId="33" xfId="0" applyNumberFormat="1" applyFont="1" applyFill="1" applyBorder="1" applyProtection="1">
      <protection locked="0"/>
    </xf>
    <xf numFmtId="0" fontId="1" fillId="6" borderId="31" xfId="0" applyFont="1" applyFill="1" applyBorder="1"/>
    <xf numFmtId="0" fontId="1" fillId="3" borderId="31" xfId="0" applyFont="1" applyFill="1" applyBorder="1" applyAlignment="1" applyProtection="1">
      <alignment wrapText="1"/>
      <protection locked="0"/>
    </xf>
    <xf numFmtId="1" fontId="1" fillId="3" borderId="33" xfId="0" applyNumberFormat="1" applyFont="1" applyFill="1" applyBorder="1" applyProtection="1">
      <protection locked="0"/>
    </xf>
    <xf numFmtId="1" fontId="1" fillId="3" borderId="31" xfId="0" applyNumberFormat="1" applyFont="1" applyFill="1" applyBorder="1" applyProtection="1">
      <protection locked="0"/>
    </xf>
    <xf numFmtId="166" fontId="1" fillId="6" borderId="18" xfId="0" applyNumberFormat="1" applyFont="1" applyFill="1" applyBorder="1"/>
    <xf numFmtId="2" fontId="1" fillId="6" borderId="19" xfId="0" applyNumberFormat="1" applyFont="1" applyFill="1" applyBorder="1"/>
    <xf numFmtId="166" fontId="1" fillId="6" borderId="30" xfId="0" applyNumberFormat="1" applyFont="1" applyFill="1" applyBorder="1"/>
    <xf numFmtId="166" fontId="1" fillId="6" borderId="33" xfId="0" applyNumberFormat="1" applyFont="1" applyFill="1" applyBorder="1"/>
    <xf numFmtId="2" fontId="1" fillId="6" borderId="31" xfId="0" applyNumberFormat="1" applyFont="1" applyFill="1" applyBorder="1"/>
    <xf numFmtId="167" fontId="1" fillId="6" borderId="10" xfId="0" applyNumberFormat="1" applyFont="1" applyFill="1" applyBorder="1"/>
    <xf numFmtId="0" fontId="1" fillId="3" borderId="0" xfId="0" applyFont="1" applyFill="1"/>
    <xf numFmtId="0" fontId="3" fillId="5" borderId="10" xfId="0" applyFont="1" applyFill="1" applyBorder="1" applyAlignment="1">
      <alignment horizontal="center" wrapText="1"/>
    </xf>
    <xf numFmtId="0" fontId="3" fillId="8" borderId="14" xfId="0" applyFont="1" applyFill="1" applyBorder="1" applyAlignment="1">
      <alignment horizontal="center" vertical="center" textRotation="90"/>
    </xf>
    <xf numFmtId="0" fontId="3" fillId="8" borderId="15" xfId="0" applyFont="1" applyFill="1" applyBorder="1" applyAlignment="1">
      <alignment horizontal="center" vertical="center" textRotation="90"/>
    </xf>
    <xf numFmtId="0" fontId="3" fillId="8" borderId="16" xfId="0" applyFont="1" applyFill="1" applyBorder="1" applyAlignment="1">
      <alignment horizontal="center" vertical="center" textRotation="90"/>
    </xf>
    <xf numFmtId="0" fontId="1" fillId="5" borderId="28" xfId="0" applyFont="1" applyFill="1" applyBorder="1" applyAlignment="1">
      <alignment horizontal="center"/>
    </xf>
    <xf numFmtId="0" fontId="1" fillId="5" borderId="29" xfId="0" applyFont="1" applyFill="1" applyBorder="1" applyAlignment="1">
      <alignment horizontal="center"/>
    </xf>
    <xf numFmtId="0" fontId="3" fillId="8" borderId="10" xfId="0" applyFont="1" applyFill="1" applyBorder="1" applyAlignment="1">
      <alignment horizontal="left" wrapText="1"/>
    </xf>
    <xf numFmtId="49" fontId="0" fillId="3" borderId="21" xfId="0" applyNumberFormat="1" applyFill="1" applyBorder="1" applyAlignment="1" applyProtection="1">
      <alignment horizontal="left" vertical="top" wrapText="1"/>
      <protection locked="0"/>
    </xf>
    <xf numFmtId="49" fontId="0" fillId="3" borderId="22" xfId="0" applyNumberFormat="1" applyFill="1" applyBorder="1" applyAlignment="1" applyProtection="1">
      <alignment horizontal="left" vertical="top"/>
      <protection locked="0"/>
    </xf>
    <xf numFmtId="49" fontId="0" fillId="3" borderId="23" xfId="0" applyNumberFormat="1" applyFill="1" applyBorder="1" applyAlignment="1" applyProtection="1">
      <alignment horizontal="left" vertical="top"/>
      <protection locked="0"/>
    </xf>
    <xf numFmtId="49" fontId="0" fillId="3" borderId="20" xfId="0" applyNumberFormat="1" applyFill="1" applyBorder="1" applyAlignment="1" applyProtection="1">
      <alignment horizontal="left" vertical="top"/>
      <protection locked="0"/>
    </xf>
    <xf numFmtId="49" fontId="0" fillId="3" borderId="0" xfId="0" applyNumberFormat="1" applyFill="1" applyAlignment="1" applyProtection="1">
      <alignment horizontal="left" vertical="top"/>
      <protection locked="0"/>
    </xf>
    <xf numFmtId="49" fontId="0" fillId="3" borderId="24" xfId="0" applyNumberFormat="1" applyFill="1" applyBorder="1" applyAlignment="1" applyProtection="1">
      <alignment horizontal="left" vertical="top"/>
      <protection locked="0"/>
    </xf>
    <xf numFmtId="49" fontId="0" fillId="3" borderId="25" xfId="0" applyNumberFormat="1" applyFill="1" applyBorder="1" applyAlignment="1" applyProtection="1">
      <alignment horizontal="left" vertical="top"/>
      <protection locked="0"/>
    </xf>
    <xf numFmtId="49" fontId="0" fillId="3" borderId="26" xfId="0" applyNumberFormat="1" applyFill="1" applyBorder="1" applyAlignment="1" applyProtection="1">
      <alignment horizontal="left" vertical="top"/>
      <protection locked="0"/>
    </xf>
    <xf numFmtId="49" fontId="0" fillId="3" borderId="27" xfId="0" applyNumberFormat="1" applyFill="1" applyBorder="1" applyAlignment="1" applyProtection="1">
      <alignment horizontal="left" vertical="top"/>
      <protection locked="0"/>
    </xf>
    <xf numFmtId="0" fontId="3" fillId="5" borderId="21" xfId="0" applyFont="1" applyFill="1" applyBorder="1" applyAlignment="1">
      <alignment horizontal="center" vertical="center" textRotation="90" wrapText="1"/>
    </xf>
    <xf numFmtId="0" fontId="3" fillId="5" borderId="20" xfId="0" applyFont="1" applyFill="1" applyBorder="1" applyAlignment="1">
      <alignment horizontal="center" vertical="center" textRotation="90" wrapText="1"/>
    </xf>
    <xf numFmtId="0" fontId="3" fillId="9" borderId="21" xfId="0" applyFont="1" applyFill="1" applyBorder="1" applyAlignment="1">
      <alignment horizontal="center" vertical="top" wrapText="1"/>
    </xf>
    <xf numFmtId="0" fontId="3" fillId="9" borderId="23" xfId="0" applyFont="1" applyFill="1" applyBorder="1" applyAlignment="1">
      <alignment horizontal="center" vertical="top" wrapText="1"/>
    </xf>
    <xf numFmtId="0" fontId="3" fillId="9" borderId="21" xfId="0" applyFont="1" applyFill="1" applyBorder="1" applyAlignment="1">
      <alignment horizontal="center" vertical="center" textRotation="90" wrapText="1"/>
    </xf>
    <xf numFmtId="0" fontId="3" fillId="9" borderId="20" xfId="0" applyFont="1" applyFill="1" applyBorder="1" applyAlignment="1">
      <alignment horizontal="center" vertical="center" textRotation="90" wrapText="1"/>
    </xf>
    <xf numFmtId="0" fontId="3" fillId="9" borderId="25" xfId="0" applyFont="1" applyFill="1" applyBorder="1" applyAlignment="1">
      <alignment horizontal="center" vertical="center" textRotation="90" wrapText="1"/>
    </xf>
    <xf numFmtId="0" fontId="3" fillId="10" borderId="10" xfId="0" applyFont="1" applyFill="1" applyBorder="1" applyAlignment="1">
      <alignment horizontal="left" wrapText="1"/>
    </xf>
    <xf numFmtId="0" fontId="3" fillId="10" borderId="14" xfId="0" applyFont="1" applyFill="1" applyBorder="1" applyAlignment="1">
      <alignment horizontal="center" vertical="center" textRotation="90"/>
    </xf>
    <xf numFmtId="0" fontId="3" fillId="10" borderId="15" xfId="0" applyFont="1" applyFill="1" applyBorder="1" applyAlignment="1">
      <alignment horizontal="center" vertical="center" textRotation="90"/>
    </xf>
    <xf numFmtId="0" fontId="3" fillId="10" borderId="16" xfId="0" applyFont="1" applyFill="1" applyBorder="1" applyAlignment="1">
      <alignment horizontal="center" vertical="center" textRotation="90"/>
    </xf>
    <xf numFmtId="0" fontId="12" fillId="5" borderId="5" xfId="0" applyFont="1" applyFill="1" applyBorder="1" applyAlignment="1">
      <alignment horizontal="center" vertical="top" wrapText="1"/>
    </xf>
    <xf numFmtId="0" fontId="12" fillId="5" borderId="0" xfId="0" applyFont="1" applyFill="1" applyAlignment="1">
      <alignment horizontal="center" vertical="top" wrapText="1"/>
    </xf>
    <xf numFmtId="0" fontId="12" fillId="5" borderId="6"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0" xfId="0" applyFont="1" applyFill="1" applyAlignment="1">
      <alignment horizontal="center" vertical="top" wrapText="1"/>
    </xf>
    <xf numFmtId="0" fontId="7" fillId="5" borderId="6" xfId="0" applyFont="1" applyFill="1" applyBorder="1" applyAlignment="1">
      <alignment horizontal="center" vertical="top" wrapText="1"/>
    </xf>
    <xf numFmtId="0" fontId="0" fillId="5" borderId="0" xfId="0" applyFill="1" applyAlignment="1">
      <alignment horizontal="right"/>
    </xf>
    <xf numFmtId="0" fontId="0" fillId="5" borderId="0" xfId="0" applyFill="1" applyAlignment="1">
      <alignment horizontal="right" vertical="top"/>
    </xf>
    <xf numFmtId="0" fontId="0" fillId="5" borderId="5" xfId="0" applyFill="1" applyBorder="1" applyAlignment="1">
      <alignment horizontal="left" vertical="top" wrapText="1"/>
    </xf>
    <xf numFmtId="0" fontId="0" fillId="5" borderId="0" xfId="0" applyFill="1" applyAlignment="1">
      <alignment horizontal="left" vertical="top" wrapText="1"/>
    </xf>
    <xf numFmtId="0" fontId="0" fillId="5" borderId="6" xfId="0" applyFill="1" applyBorder="1" applyAlignment="1">
      <alignment horizontal="left" vertical="top" wrapText="1"/>
    </xf>
    <xf numFmtId="0" fontId="10" fillId="3" borderId="0" xfId="0" applyFont="1" applyFill="1" applyAlignment="1">
      <alignment horizontal="left"/>
    </xf>
    <xf numFmtId="49" fontId="0" fillId="3" borderId="0" xfId="0" applyNumberFormat="1" applyFill="1" applyAlignment="1">
      <alignment horizontal="left" wrapText="1"/>
    </xf>
    <xf numFmtId="0" fontId="0" fillId="3" borderId="0" xfId="0" applyFill="1" applyAlignment="1">
      <alignment horizontal="left" vertical="top" wrapText="1"/>
    </xf>
    <xf numFmtId="0" fontId="0" fillId="3" borderId="10" xfId="0" applyFill="1" applyBorder="1" applyAlignment="1">
      <alignment horizontal="left" vertical="top"/>
    </xf>
    <xf numFmtId="0" fontId="0" fillId="3" borderId="10" xfId="0" quotePrefix="1" applyFill="1" applyBorder="1" applyAlignment="1">
      <alignment horizontal="left" vertical="top" wrapText="1"/>
    </xf>
    <xf numFmtId="0" fontId="10" fillId="3"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10" xfId="0" quotePrefix="1" applyBorder="1" applyAlignment="1">
      <alignment horizontal="left" vertical="top" wrapText="1"/>
    </xf>
    <xf numFmtId="0" fontId="0" fillId="3" borderId="10" xfId="0" applyFill="1" applyBorder="1" applyAlignment="1">
      <alignment horizontal="left" vertical="top" wrapText="1"/>
    </xf>
    <xf numFmtId="0" fontId="0" fillId="3" borderId="0" xfId="0" applyFill="1" applyAlignment="1">
      <alignment horizontal="left" wrapText="1"/>
    </xf>
    <xf numFmtId="0" fontId="11" fillId="3" borderId="0" xfId="0" applyFont="1" applyFill="1" applyAlignment="1">
      <alignment horizontal="left" wrapText="1"/>
    </xf>
    <xf numFmtId="0" fontId="1" fillId="3" borderId="11" xfId="0" applyFont="1" applyFill="1" applyBorder="1" applyAlignment="1">
      <alignment horizontal="left" vertical="top"/>
    </xf>
    <xf numFmtId="0" fontId="1" fillId="3" borderId="13" xfId="0" applyFont="1" applyFill="1" applyBorder="1" applyAlignment="1">
      <alignment horizontal="left" vertical="top"/>
    </xf>
    <xf numFmtId="0" fontId="1" fillId="3" borderId="12" xfId="0" applyFont="1" applyFill="1" applyBorder="1" applyAlignment="1">
      <alignment horizontal="left" vertical="top"/>
    </xf>
    <xf numFmtId="0" fontId="1" fillId="3" borderId="10" xfId="0" applyFont="1" applyFill="1" applyBorder="1" applyAlignment="1">
      <alignment horizontal="left" vertical="top"/>
    </xf>
    <xf numFmtId="0" fontId="0" fillId="3" borderId="11" xfId="0" applyFill="1" applyBorder="1" applyAlignment="1">
      <alignment horizontal="left" vertical="top"/>
    </xf>
    <xf numFmtId="0" fontId="0" fillId="3" borderId="13" xfId="0" applyFill="1" applyBorder="1" applyAlignment="1">
      <alignment horizontal="left" vertical="top"/>
    </xf>
    <xf numFmtId="0" fontId="0" fillId="3" borderId="12" xfId="0" applyFill="1" applyBorder="1" applyAlignment="1">
      <alignment horizontal="left" vertical="top"/>
    </xf>
  </cellXfs>
  <cellStyles count="4">
    <cellStyle name="Hyperlänk" xfId="2" builtinId="8"/>
    <cellStyle name="Normal" xfId="0" builtinId="0"/>
    <cellStyle name="Normal 2" xfId="1" xr:uid="{D9758739-742B-4337-ADB1-E8247F591290}"/>
    <cellStyle name="Procent" xfId="3" builtinId="5"/>
  </cellStyles>
  <dxfs count="31">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ont>
        <color theme="0"/>
      </font>
    </dxf>
    <dxf>
      <font>
        <color theme="0"/>
      </font>
    </dxf>
  </dxfs>
  <tableStyles count="0" defaultTableStyle="TableStyleMedium2" defaultPivotStyle="PivotStyleLight16"/>
  <colors>
    <mruColors>
      <color rgb="FFA6CF38"/>
      <color rgb="FF00555C"/>
      <color rgb="FF008A01"/>
      <color rgb="FFFED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Types" Target="richData/rdRichValueTyp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sv-SE"/>
              <a:t>Klimatpåverkan från materialproduktion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sv-S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919-461C-855A-9714ABBEBE7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919-461C-855A-9714ABBEBE7C}"/>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919-461C-855A-9714ABBEBE7C}"/>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8D6-4ED8-B75B-ADCEBB369AA8}"/>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919-461C-855A-9714ABBEBE7C}"/>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919-461C-855A-9714ABBEBE7C}"/>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7919-461C-855A-9714ABBEBE7C}"/>
              </c:ext>
            </c:extLst>
          </c:dPt>
          <c:dLbls>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sv-SE"/>
              </a:p>
            </c:txP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numRef>
              <c:f>Indata!$C$73:$C$79</c:f>
              <c:numCache>
                <c:formatCode>General</c:formatCode>
                <c:ptCount val="7"/>
                <c:pt idx="0">
                  <c:v>0</c:v>
                </c:pt>
              </c:numCache>
            </c:numRef>
          </c:cat>
          <c:val>
            <c:numRef>
              <c:f>Indata!$D$73:$D$79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4-7919-461C-855A-9714ABBEBE7C}"/>
            </c:ext>
          </c:extLst>
        </c:ser>
        <c:dLbls>
          <c:showLegendKey val="0"/>
          <c:showVal val="0"/>
          <c:showCatName val="0"/>
          <c:showSerName val="0"/>
          <c:showPercent val="1"/>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1" i="0" u="none" strike="noStrike" kern="1200" baseline="0">
              <a:solidFill>
                <a:schemeClr val="lt1">
                  <a:lumMod val="85000"/>
                </a:schemeClr>
              </a:solidFill>
              <a:latin typeface="+mn-lt"/>
              <a:ea typeface="+mn-ea"/>
              <a:cs typeface="+mn-cs"/>
            </a:defRPr>
          </a:pPr>
          <a:endParaRPr lang="sv-S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Indata!$L$63</c:f>
          <c:strCache>
            <c:ptCount val="1"/>
            <c:pt idx="0">
              <c:v>Antal nyplanterade stadsträd</c:v>
            </c:pt>
          </c:strCache>
        </c:strRef>
      </c:tx>
      <c:overlay val="0"/>
      <c:spPr>
        <a:noFill/>
        <a:ln>
          <a:noFill/>
        </a:ln>
        <a:effectLst/>
      </c:spPr>
      <c:txPr>
        <a:bodyPr rot="0" spcFirstLastPara="1" vertOverflow="ellipsis" vert="horz" wrap="square" anchor="ctr" anchorCtr="1"/>
        <a:lstStyle/>
        <a:p>
          <a:pPr>
            <a:defRPr sz="14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lumMod val="8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Indata!$L$64</c:f>
              <c:numCache>
                <c:formatCode>General</c:formatCode>
                <c:ptCount val="1"/>
                <c:pt idx="0">
                  <c:v>0</c:v>
                </c:pt>
              </c:numCache>
            </c:numRef>
          </c:val>
          <c:extLst>
            <c:ext xmlns:c16="http://schemas.microsoft.com/office/drawing/2014/chart" uri="{C3380CC4-5D6E-409C-BE32-E72D297353CC}">
              <c16:uniqueId val="{00000007-668F-41C6-BE44-3C77122F2B2E}"/>
            </c:ext>
          </c:extLst>
        </c:ser>
        <c:dLbls>
          <c:showLegendKey val="0"/>
          <c:showVal val="1"/>
          <c:showCatName val="0"/>
          <c:showSerName val="0"/>
          <c:showPercent val="0"/>
          <c:showBubbleSize val="0"/>
        </c:dLbls>
        <c:gapWidth val="150"/>
        <c:shape val="box"/>
        <c:axId val="864986504"/>
        <c:axId val="812763832"/>
        <c:axId val="0"/>
      </c:bar3DChart>
      <c:catAx>
        <c:axId val="864986504"/>
        <c:scaling>
          <c:orientation val="minMax"/>
        </c:scaling>
        <c:delete val="1"/>
        <c:axPos val="b"/>
        <c:numFmt formatCode="General" sourceLinked="1"/>
        <c:majorTickMark val="none"/>
        <c:minorTickMark val="none"/>
        <c:tickLblPos val="nextTo"/>
        <c:crossAx val="812763832"/>
        <c:crosses val="autoZero"/>
        <c:auto val="1"/>
        <c:lblAlgn val="ctr"/>
        <c:lblOffset val="100"/>
        <c:noMultiLvlLbl val="0"/>
      </c:catAx>
      <c:valAx>
        <c:axId val="812763832"/>
        <c:scaling>
          <c:orientation val="minMax"/>
        </c:scaling>
        <c:delete val="0"/>
        <c:axPos val="l"/>
        <c:majorGridlines>
          <c:spPr>
            <a:ln w="9525" cap="flat" cmpd="sng" algn="ctr">
              <a:solidFill>
                <a:schemeClr val="dk1">
                  <a:lumMod val="50000"/>
                  <a:lumOff val="5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sv-SE"/>
                  <a:t>Antal stadsträd</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86498650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v-SE"/>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Indata!$K$63</c:f>
          <c:strCache>
            <c:ptCount val="1"/>
            <c:pt idx="0">
              <c:v>Antal resor mellan Stockholm och Uppsala</c:v>
            </c:pt>
          </c:strCache>
        </c:strRef>
      </c:tx>
      <c:overlay val="0"/>
      <c:spPr>
        <a:noFill/>
        <a:ln>
          <a:noFill/>
        </a:ln>
        <a:effectLst/>
      </c:spPr>
      <c:txPr>
        <a:bodyPr rot="0" spcFirstLastPara="1" vertOverflow="ellipsis" vert="horz" wrap="square" anchor="ctr" anchorCtr="1"/>
        <a:lstStyle/>
        <a:p>
          <a:pPr>
            <a:defRPr sz="14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Indata!$D$2</c:f>
              <c:strCache>
                <c:ptCount val="1"/>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lumMod val="8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Indata!$K$64</c:f>
              <c:numCache>
                <c:formatCode>General</c:formatCode>
                <c:ptCount val="1"/>
                <c:pt idx="0">
                  <c:v>0</c:v>
                </c:pt>
              </c:numCache>
            </c:numRef>
          </c:val>
          <c:extLst>
            <c:ext xmlns:c16="http://schemas.microsoft.com/office/drawing/2014/chart" uri="{C3380CC4-5D6E-409C-BE32-E72D297353CC}">
              <c16:uniqueId val="{00000000-0951-4E5C-8A33-CCA057D42EAE}"/>
            </c:ext>
          </c:extLst>
        </c:ser>
        <c:dLbls>
          <c:showLegendKey val="0"/>
          <c:showVal val="1"/>
          <c:showCatName val="0"/>
          <c:showSerName val="0"/>
          <c:showPercent val="0"/>
          <c:showBubbleSize val="0"/>
        </c:dLbls>
        <c:gapWidth val="150"/>
        <c:shape val="box"/>
        <c:axId val="864986504"/>
        <c:axId val="812763832"/>
        <c:axId val="0"/>
      </c:bar3DChart>
      <c:catAx>
        <c:axId val="864986504"/>
        <c:scaling>
          <c:orientation val="minMax"/>
        </c:scaling>
        <c:delete val="1"/>
        <c:axPos val="b"/>
        <c:numFmt formatCode="General" sourceLinked="1"/>
        <c:majorTickMark val="none"/>
        <c:minorTickMark val="none"/>
        <c:tickLblPos val="nextTo"/>
        <c:crossAx val="812763832"/>
        <c:crosses val="autoZero"/>
        <c:auto val="1"/>
        <c:lblAlgn val="ctr"/>
        <c:lblOffset val="100"/>
        <c:noMultiLvlLbl val="0"/>
      </c:catAx>
      <c:valAx>
        <c:axId val="812763832"/>
        <c:scaling>
          <c:orientation val="minMax"/>
        </c:scaling>
        <c:delete val="0"/>
        <c:axPos val="l"/>
        <c:majorGridlines>
          <c:spPr>
            <a:ln w="9525" cap="flat" cmpd="sng" algn="ctr">
              <a:solidFill>
                <a:schemeClr val="dk1">
                  <a:lumMod val="50000"/>
                  <a:lumOff val="5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sv-SE"/>
                  <a:t>Antal resor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86498650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Indata!$C$61</c:f>
          <c:strCache>
            <c:ptCount val="1"/>
            <c:pt idx="0">
              <c:v>Klimatpåverkan för </c:v>
            </c:pt>
          </c:strCache>
        </c:strRef>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Indata!$C$64</c:f>
              <c:strCache>
                <c:ptCount val="1"/>
                <c:pt idx="0">
                  <c:v>Materialproduktion; 0 kg CO2e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(Indata!$D$63,Indata!$E$63,Indata!$F$63)</c:f>
              <c:strCache>
                <c:ptCount val="3"/>
                <c:pt idx="0">
                  <c:v>Tillverkning</c:v>
                </c:pt>
                <c:pt idx="1">
                  <c:v>Installation</c:v>
                </c:pt>
                <c:pt idx="2">
                  <c:v>Drift och underhåll</c:v>
                </c:pt>
              </c:strCache>
            </c:strRef>
          </c:cat>
          <c:val>
            <c:numRef>
              <c:f>Indata!$D$64:$F$64</c:f>
              <c:numCache>
                <c:formatCode>General</c:formatCode>
                <c:ptCount val="3"/>
                <c:pt idx="0">
                  <c:v>0</c:v>
                </c:pt>
              </c:numCache>
            </c:numRef>
          </c:val>
          <c:extLst>
            <c:ext xmlns:c16="http://schemas.microsoft.com/office/drawing/2014/chart" uri="{C3380CC4-5D6E-409C-BE32-E72D297353CC}">
              <c16:uniqueId val="{00000001-7721-4B1B-910A-F394C00C3B3F}"/>
            </c:ext>
          </c:extLst>
        </c:ser>
        <c:ser>
          <c:idx val="2"/>
          <c:order val="1"/>
          <c:tx>
            <c:strRef>
              <c:f>Indata!$C$66</c:f>
              <c:strCache>
                <c:ptCount val="1"/>
                <c:pt idx="0">
                  <c:v>Transport material; 0 kg CO2e</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(Indata!$D$63,Indata!$E$63,Indata!$F$63)</c:f>
              <c:strCache>
                <c:ptCount val="3"/>
                <c:pt idx="0">
                  <c:v>Tillverkning</c:v>
                </c:pt>
                <c:pt idx="1">
                  <c:v>Installation</c:v>
                </c:pt>
                <c:pt idx="2">
                  <c:v>Drift och underhåll</c:v>
                </c:pt>
              </c:strCache>
            </c:strRef>
          </c:cat>
          <c:val>
            <c:numRef>
              <c:f>Indata!$D$66:$F$66</c:f>
              <c:numCache>
                <c:formatCode>General</c:formatCode>
                <c:ptCount val="3"/>
                <c:pt idx="0">
                  <c:v>0</c:v>
                </c:pt>
              </c:numCache>
            </c:numRef>
          </c:val>
          <c:extLst>
            <c:ext xmlns:c16="http://schemas.microsoft.com/office/drawing/2014/chart" uri="{C3380CC4-5D6E-409C-BE32-E72D297353CC}">
              <c16:uniqueId val="{00000005-7721-4B1B-910A-F394C00C3B3F}"/>
            </c:ext>
          </c:extLst>
        </c:ser>
        <c:ser>
          <c:idx val="1"/>
          <c:order val="2"/>
          <c:tx>
            <c:strRef>
              <c:f>Indata!$C$65</c:f>
              <c:strCache>
                <c:ptCount val="1"/>
                <c:pt idx="0">
                  <c:v>Materialbearbetning; 0 kg CO2e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(Indata!$D$63,Indata!$E$63,Indata!$F$63)</c:f>
              <c:strCache>
                <c:ptCount val="3"/>
                <c:pt idx="0">
                  <c:v>Tillverkning</c:v>
                </c:pt>
                <c:pt idx="1">
                  <c:v>Installation</c:v>
                </c:pt>
                <c:pt idx="2">
                  <c:v>Drift och underhåll</c:v>
                </c:pt>
              </c:strCache>
            </c:strRef>
          </c:cat>
          <c:val>
            <c:numRef>
              <c:f>Indata!$D$65:$F$65</c:f>
              <c:numCache>
                <c:formatCode>General</c:formatCode>
                <c:ptCount val="3"/>
                <c:pt idx="0">
                  <c:v>0</c:v>
                </c:pt>
              </c:numCache>
            </c:numRef>
          </c:val>
          <c:extLst>
            <c:ext xmlns:c16="http://schemas.microsoft.com/office/drawing/2014/chart" uri="{C3380CC4-5D6E-409C-BE32-E72D297353CC}">
              <c16:uniqueId val="{00000003-7721-4B1B-910A-F394C00C3B3F}"/>
            </c:ext>
          </c:extLst>
        </c:ser>
        <c:ser>
          <c:idx val="3"/>
          <c:order val="3"/>
          <c:tx>
            <c:strRef>
              <c:f>Indata!$C$67</c:f>
              <c:strCache>
                <c:ptCount val="1"/>
                <c:pt idx="0">
                  <c:v>Transport konstverk; 0 kg CO2e</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(Indata!$D$63,Indata!$E$63,Indata!$F$63)</c:f>
              <c:strCache>
                <c:ptCount val="3"/>
                <c:pt idx="0">
                  <c:v>Tillverkning</c:v>
                </c:pt>
                <c:pt idx="1">
                  <c:v>Installation</c:v>
                </c:pt>
                <c:pt idx="2">
                  <c:v>Drift och underhåll</c:v>
                </c:pt>
              </c:strCache>
            </c:strRef>
          </c:cat>
          <c:val>
            <c:numRef>
              <c:f>Indata!$D$67:$F$67</c:f>
              <c:numCache>
                <c:formatCode>General</c:formatCode>
                <c:ptCount val="3"/>
                <c:pt idx="1">
                  <c:v>0</c:v>
                </c:pt>
              </c:numCache>
            </c:numRef>
          </c:val>
          <c:extLst>
            <c:ext xmlns:c16="http://schemas.microsoft.com/office/drawing/2014/chart" uri="{C3380CC4-5D6E-409C-BE32-E72D297353CC}">
              <c16:uniqueId val="{00000007-7721-4B1B-910A-F394C00C3B3F}"/>
            </c:ext>
          </c:extLst>
        </c:ser>
        <c:ser>
          <c:idx val="4"/>
          <c:order val="4"/>
          <c:tx>
            <c:strRef>
              <c:f>Indata!$C$68</c:f>
              <c:strCache>
                <c:ptCount val="1"/>
                <c:pt idx="0">
                  <c:v>Persontransporter; 0 kg CO2e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(Indata!$D$63,Indata!$E$63,Indata!$F$63)</c:f>
              <c:strCache>
                <c:ptCount val="3"/>
                <c:pt idx="0">
                  <c:v>Tillverkning</c:v>
                </c:pt>
                <c:pt idx="1">
                  <c:v>Installation</c:v>
                </c:pt>
                <c:pt idx="2">
                  <c:v>Drift och underhåll</c:v>
                </c:pt>
              </c:strCache>
            </c:strRef>
          </c:cat>
          <c:val>
            <c:numRef>
              <c:f>Indata!$D$68:$F$68</c:f>
              <c:numCache>
                <c:formatCode>General</c:formatCode>
                <c:ptCount val="3"/>
                <c:pt idx="1">
                  <c:v>0</c:v>
                </c:pt>
              </c:numCache>
            </c:numRef>
          </c:val>
          <c:extLst>
            <c:ext xmlns:c16="http://schemas.microsoft.com/office/drawing/2014/chart" uri="{C3380CC4-5D6E-409C-BE32-E72D297353CC}">
              <c16:uniqueId val="{00000009-7721-4B1B-910A-F394C00C3B3F}"/>
            </c:ext>
          </c:extLst>
        </c:ser>
        <c:ser>
          <c:idx val="5"/>
          <c:order val="5"/>
          <c:tx>
            <c:strRef>
              <c:f>Indata!$C$69</c:f>
              <c:strCache>
                <c:ptCount val="1"/>
                <c:pt idx="0">
                  <c:v>Anläggningsarbete; 0 kg CO2e</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(Indata!$D$63,Indata!$E$63,Indata!$F$63)</c:f>
              <c:strCache>
                <c:ptCount val="3"/>
                <c:pt idx="0">
                  <c:v>Tillverkning</c:v>
                </c:pt>
                <c:pt idx="1">
                  <c:v>Installation</c:v>
                </c:pt>
                <c:pt idx="2">
                  <c:v>Drift och underhåll</c:v>
                </c:pt>
              </c:strCache>
            </c:strRef>
          </c:cat>
          <c:val>
            <c:numRef>
              <c:f>Indata!$D$69:$F$69</c:f>
              <c:numCache>
                <c:formatCode>General</c:formatCode>
                <c:ptCount val="3"/>
                <c:pt idx="1">
                  <c:v>0</c:v>
                </c:pt>
              </c:numCache>
            </c:numRef>
          </c:val>
          <c:extLst>
            <c:ext xmlns:c16="http://schemas.microsoft.com/office/drawing/2014/chart" uri="{C3380CC4-5D6E-409C-BE32-E72D297353CC}">
              <c16:uniqueId val="{0000000B-7721-4B1B-910A-F394C00C3B3F}"/>
            </c:ext>
          </c:extLst>
        </c:ser>
        <c:ser>
          <c:idx val="6"/>
          <c:order val="6"/>
          <c:tx>
            <c:strRef>
              <c:f>Indata!$C$70</c:f>
              <c:strCache>
                <c:ptCount val="1"/>
                <c:pt idx="0">
                  <c:v>Drift och underhåll; 0 kg CO2e</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(Indata!$D$63,Indata!$E$63,Indata!$F$63)</c:f>
              <c:strCache>
                <c:ptCount val="3"/>
                <c:pt idx="0">
                  <c:v>Tillverkning</c:v>
                </c:pt>
                <c:pt idx="1">
                  <c:v>Installation</c:v>
                </c:pt>
                <c:pt idx="2">
                  <c:v>Drift och underhåll</c:v>
                </c:pt>
              </c:strCache>
            </c:strRef>
          </c:cat>
          <c:val>
            <c:numRef>
              <c:f>Indata!$D$70:$F$70</c:f>
              <c:numCache>
                <c:formatCode>General</c:formatCode>
                <c:ptCount val="3"/>
                <c:pt idx="2">
                  <c:v>0</c:v>
                </c:pt>
              </c:numCache>
            </c:numRef>
          </c:val>
          <c:extLst>
            <c:ext xmlns:c16="http://schemas.microsoft.com/office/drawing/2014/chart" uri="{C3380CC4-5D6E-409C-BE32-E72D297353CC}">
              <c16:uniqueId val="{0000000D-7721-4B1B-910A-F394C00C3B3F}"/>
            </c:ext>
          </c:extLst>
        </c:ser>
        <c:dLbls>
          <c:showLegendKey val="0"/>
          <c:showVal val="1"/>
          <c:showCatName val="0"/>
          <c:showSerName val="0"/>
          <c:showPercent val="0"/>
          <c:showBubbleSize val="0"/>
        </c:dLbls>
        <c:gapWidth val="55"/>
        <c:gapDepth val="55"/>
        <c:shape val="box"/>
        <c:axId val="135225855"/>
        <c:axId val="135226935"/>
        <c:axId val="0"/>
      </c:bar3DChart>
      <c:catAx>
        <c:axId val="135225855"/>
        <c:scaling>
          <c:orientation val="minMax"/>
        </c:scaling>
        <c:delete val="0"/>
        <c:axPos val="b"/>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135226935"/>
        <c:crosses val="autoZero"/>
        <c:auto val="0"/>
        <c:lblAlgn val="ctr"/>
        <c:lblOffset val="100"/>
        <c:noMultiLvlLbl val="0"/>
      </c:catAx>
      <c:valAx>
        <c:axId val="135226935"/>
        <c:scaling>
          <c:orientation val="minMax"/>
        </c:scaling>
        <c:delete val="0"/>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13522585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v-SE"/>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AD4985D-090B-4B9B-8146-02D9706989A4}" type="doc">
      <dgm:prSet loTypeId="urn:microsoft.com/office/officeart/2005/8/layout/cycle8" loCatId="cycle" qsTypeId="urn:microsoft.com/office/officeart/2005/8/quickstyle/simple1" qsCatId="simple" csTypeId="urn:microsoft.com/office/officeart/2005/8/colors/accent1_2" csCatId="accent1" phldr="1"/>
      <dgm:spPr/>
    </dgm:pt>
    <dgm:pt modelId="{26955C32-DE06-4776-91C4-82A1D102BC24}">
      <dgm:prSet phldrT="[Text]"/>
      <dgm:spPr/>
      <dgm:t>
        <a:bodyPr/>
        <a:lstStyle/>
        <a:p>
          <a:r>
            <a:rPr lang="sv-SE"/>
            <a:t>Transport</a:t>
          </a:r>
        </a:p>
      </dgm:t>
    </dgm:pt>
    <dgm:pt modelId="{35244680-987E-4D59-902A-6567933DB67D}" type="parTrans" cxnId="{3E4AAC84-65E0-4376-8818-6B422679448C}">
      <dgm:prSet/>
      <dgm:spPr/>
      <dgm:t>
        <a:bodyPr/>
        <a:lstStyle/>
        <a:p>
          <a:endParaRPr lang="sv-SE"/>
        </a:p>
      </dgm:t>
    </dgm:pt>
    <dgm:pt modelId="{7D97DEB6-F023-4B1D-82B2-9789C2A71E09}" type="sibTrans" cxnId="{3E4AAC84-65E0-4376-8818-6B422679448C}">
      <dgm:prSet/>
      <dgm:spPr/>
      <dgm:t>
        <a:bodyPr/>
        <a:lstStyle/>
        <a:p>
          <a:endParaRPr lang="sv-SE"/>
        </a:p>
      </dgm:t>
    </dgm:pt>
    <dgm:pt modelId="{555962B3-27C5-4722-8626-E50FB94162A8}">
      <dgm:prSet phldrT="[Text]"/>
      <dgm:spPr>
        <a:solidFill>
          <a:schemeClr val="bg2">
            <a:lumMod val="50000"/>
          </a:schemeClr>
        </a:solidFill>
      </dgm:spPr>
      <dgm:t>
        <a:bodyPr/>
        <a:lstStyle/>
        <a:p>
          <a:r>
            <a:rPr lang="sv-SE"/>
            <a:t>Slutskede</a:t>
          </a:r>
        </a:p>
      </dgm:t>
    </dgm:pt>
    <dgm:pt modelId="{870C03E6-7995-4E00-B6A7-8F5A97166549}" type="parTrans" cxnId="{7144B632-DE7D-4275-A1C5-1FDB9CD60D32}">
      <dgm:prSet/>
      <dgm:spPr/>
      <dgm:t>
        <a:bodyPr/>
        <a:lstStyle/>
        <a:p>
          <a:endParaRPr lang="sv-SE"/>
        </a:p>
      </dgm:t>
    </dgm:pt>
    <dgm:pt modelId="{44511B72-3D13-4B80-BABD-25487E8FFDE6}" type="sibTrans" cxnId="{7144B632-DE7D-4275-A1C5-1FDB9CD60D32}">
      <dgm:prSet/>
      <dgm:spPr/>
      <dgm:t>
        <a:bodyPr/>
        <a:lstStyle/>
        <a:p>
          <a:endParaRPr lang="sv-SE"/>
        </a:p>
      </dgm:t>
    </dgm:pt>
    <dgm:pt modelId="{E6B76464-C609-4EAE-98EC-CAE9377E967E}">
      <dgm:prSet phldrT="[Text]"/>
      <dgm:spPr/>
      <dgm:t>
        <a:bodyPr/>
        <a:lstStyle/>
        <a:p>
          <a:r>
            <a:rPr lang="sv-SE"/>
            <a:t>Materialproduktion</a:t>
          </a:r>
        </a:p>
      </dgm:t>
    </dgm:pt>
    <dgm:pt modelId="{78387076-0320-49BC-AFA1-E868B6132D93}" type="parTrans" cxnId="{7A2FD420-43C7-41C8-B9FD-41EFAA9AC51C}">
      <dgm:prSet/>
      <dgm:spPr/>
      <dgm:t>
        <a:bodyPr/>
        <a:lstStyle/>
        <a:p>
          <a:endParaRPr lang="sv-SE"/>
        </a:p>
      </dgm:t>
    </dgm:pt>
    <dgm:pt modelId="{A73E2DAD-276C-4533-826A-0BDC306AF538}" type="sibTrans" cxnId="{7A2FD420-43C7-41C8-B9FD-41EFAA9AC51C}">
      <dgm:prSet/>
      <dgm:spPr/>
      <dgm:t>
        <a:bodyPr/>
        <a:lstStyle/>
        <a:p>
          <a:endParaRPr lang="sv-SE"/>
        </a:p>
      </dgm:t>
    </dgm:pt>
    <dgm:pt modelId="{82BCA2BF-9D33-41B2-8858-3ACFEACFAA7F}">
      <dgm:prSet/>
      <dgm:spPr/>
      <dgm:t>
        <a:bodyPr/>
        <a:lstStyle/>
        <a:p>
          <a:r>
            <a:rPr lang="sv-SE"/>
            <a:t>Drift och underhåll</a:t>
          </a:r>
        </a:p>
      </dgm:t>
    </dgm:pt>
    <dgm:pt modelId="{398B0260-F918-4251-A4F4-4599F6745343}" type="parTrans" cxnId="{247DFBF9-7279-4EA7-A713-440361DF6166}">
      <dgm:prSet/>
      <dgm:spPr/>
      <dgm:t>
        <a:bodyPr/>
        <a:lstStyle/>
        <a:p>
          <a:endParaRPr lang="sv-SE"/>
        </a:p>
      </dgm:t>
    </dgm:pt>
    <dgm:pt modelId="{74F90927-AC4F-4923-AE50-5FE65F4EEE52}" type="sibTrans" cxnId="{247DFBF9-7279-4EA7-A713-440361DF6166}">
      <dgm:prSet/>
      <dgm:spPr/>
      <dgm:t>
        <a:bodyPr/>
        <a:lstStyle/>
        <a:p>
          <a:endParaRPr lang="sv-SE"/>
        </a:p>
      </dgm:t>
    </dgm:pt>
    <dgm:pt modelId="{7B962070-364B-4991-9815-7F268239F447}">
      <dgm:prSet/>
      <dgm:spPr/>
      <dgm:t>
        <a:bodyPr/>
        <a:lstStyle/>
        <a:p>
          <a:r>
            <a:rPr lang="sv-SE"/>
            <a:t>Installation</a:t>
          </a:r>
        </a:p>
      </dgm:t>
    </dgm:pt>
    <dgm:pt modelId="{DA966E8B-7A14-41C7-8092-DC7178A5F389}" type="parTrans" cxnId="{0203CF41-9441-4DA6-876F-FD6DD6FE6043}">
      <dgm:prSet/>
      <dgm:spPr/>
      <dgm:t>
        <a:bodyPr/>
        <a:lstStyle/>
        <a:p>
          <a:endParaRPr lang="sv-SE"/>
        </a:p>
      </dgm:t>
    </dgm:pt>
    <dgm:pt modelId="{55513105-4931-4D17-B6E8-5D6F8003A454}" type="sibTrans" cxnId="{0203CF41-9441-4DA6-876F-FD6DD6FE6043}">
      <dgm:prSet/>
      <dgm:spPr/>
      <dgm:t>
        <a:bodyPr/>
        <a:lstStyle/>
        <a:p>
          <a:endParaRPr lang="sv-SE"/>
        </a:p>
      </dgm:t>
    </dgm:pt>
    <dgm:pt modelId="{796B4B8F-9315-4DE1-90FB-25773C0A3ADB}" type="pres">
      <dgm:prSet presAssocID="{EAD4985D-090B-4B9B-8146-02D9706989A4}" presName="compositeShape" presStyleCnt="0">
        <dgm:presLayoutVars>
          <dgm:chMax val="7"/>
          <dgm:dir/>
          <dgm:resizeHandles val="exact"/>
        </dgm:presLayoutVars>
      </dgm:prSet>
      <dgm:spPr/>
    </dgm:pt>
    <dgm:pt modelId="{6A28AF42-B6C4-4D87-BD54-1818E4FD392C}" type="pres">
      <dgm:prSet presAssocID="{EAD4985D-090B-4B9B-8146-02D9706989A4}" presName="wedge1" presStyleLbl="node1" presStyleIdx="0" presStyleCnt="5"/>
      <dgm:spPr/>
    </dgm:pt>
    <dgm:pt modelId="{72D42CDC-CFB3-43B0-A311-33EAC34D0065}" type="pres">
      <dgm:prSet presAssocID="{EAD4985D-090B-4B9B-8146-02D9706989A4}" presName="dummy1a" presStyleCnt="0"/>
      <dgm:spPr/>
    </dgm:pt>
    <dgm:pt modelId="{7B6272B7-0A8B-4275-982B-61D1855BF0ED}" type="pres">
      <dgm:prSet presAssocID="{EAD4985D-090B-4B9B-8146-02D9706989A4}" presName="dummy1b" presStyleCnt="0"/>
      <dgm:spPr/>
    </dgm:pt>
    <dgm:pt modelId="{2B6041B7-DCB1-45E7-96A3-CD8F14043EAF}" type="pres">
      <dgm:prSet presAssocID="{EAD4985D-090B-4B9B-8146-02D9706989A4}" presName="wedge1Tx" presStyleLbl="node1" presStyleIdx="0" presStyleCnt="5">
        <dgm:presLayoutVars>
          <dgm:chMax val="0"/>
          <dgm:chPref val="0"/>
          <dgm:bulletEnabled val="1"/>
        </dgm:presLayoutVars>
      </dgm:prSet>
      <dgm:spPr/>
    </dgm:pt>
    <dgm:pt modelId="{9202D6E7-E099-4A31-8A62-7F021F35DC44}" type="pres">
      <dgm:prSet presAssocID="{EAD4985D-090B-4B9B-8146-02D9706989A4}" presName="wedge2" presStyleLbl="node1" presStyleIdx="1" presStyleCnt="5"/>
      <dgm:spPr/>
    </dgm:pt>
    <dgm:pt modelId="{A4C906CC-098E-4EA0-952D-C2DDEC0B3DAF}" type="pres">
      <dgm:prSet presAssocID="{EAD4985D-090B-4B9B-8146-02D9706989A4}" presName="dummy2a" presStyleCnt="0"/>
      <dgm:spPr/>
    </dgm:pt>
    <dgm:pt modelId="{0D1E5D7F-F376-43FA-A433-859C96619692}" type="pres">
      <dgm:prSet presAssocID="{EAD4985D-090B-4B9B-8146-02D9706989A4}" presName="dummy2b" presStyleCnt="0"/>
      <dgm:spPr/>
    </dgm:pt>
    <dgm:pt modelId="{CD1C8FB5-5A7A-454D-8D24-AA91647D16A2}" type="pres">
      <dgm:prSet presAssocID="{EAD4985D-090B-4B9B-8146-02D9706989A4}" presName="wedge2Tx" presStyleLbl="node1" presStyleIdx="1" presStyleCnt="5">
        <dgm:presLayoutVars>
          <dgm:chMax val="0"/>
          <dgm:chPref val="0"/>
          <dgm:bulletEnabled val="1"/>
        </dgm:presLayoutVars>
      </dgm:prSet>
      <dgm:spPr/>
    </dgm:pt>
    <dgm:pt modelId="{861835C5-2FC0-4F5E-A23B-B6E82FD6B31F}" type="pres">
      <dgm:prSet presAssocID="{EAD4985D-090B-4B9B-8146-02D9706989A4}" presName="wedge3" presStyleLbl="node1" presStyleIdx="2" presStyleCnt="5"/>
      <dgm:spPr/>
    </dgm:pt>
    <dgm:pt modelId="{FE6059E9-2B67-4F55-8987-C537822BE07B}" type="pres">
      <dgm:prSet presAssocID="{EAD4985D-090B-4B9B-8146-02D9706989A4}" presName="dummy3a" presStyleCnt="0"/>
      <dgm:spPr/>
    </dgm:pt>
    <dgm:pt modelId="{7F13249F-52E5-4AA1-AA1A-7F9A8C4A497F}" type="pres">
      <dgm:prSet presAssocID="{EAD4985D-090B-4B9B-8146-02D9706989A4}" presName="dummy3b" presStyleCnt="0"/>
      <dgm:spPr/>
    </dgm:pt>
    <dgm:pt modelId="{BD0C07EF-F488-470A-9549-719EC3D1D663}" type="pres">
      <dgm:prSet presAssocID="{EAD4985D-090B-4B9B-8146-02D9706989A4}" presName="wedge3Tx" presStyleLbl="node1" presStyleIdx="2" presStyleCnt="5">
        <dgm:presLayoutVars>
          <dgm:chMax val="0"/>
          <dgm:chPref val="0"/>
          <dgm:bulletEnabled val="1"/>
        </dgm:presLayoutVars>
      </dgm:prSet>
      <dgm:spPr/>
    </dgm:pt>
    <dgm:pt modelId="{AC643F28-AB70-46C0-BB5F-01EE61F9FB41}" type="pres">
      <dgm:prSet presAssocID="{EAD4985D-090B-4B9B-8146-02D9706989A4}" presName="wedge4" presStyleLbl="node1" presStyleIdx="3" presStyleCnt="5"/>
      <dgm:spPr/>
    </dgm:pt>
    <dgm:pt modelId="{7875CCBC-0393-4E51-98F3-23CBB189D3AA}" type="pres">
      <dgm:prSet presAssocID="{EAD4985D-090B-4B9B-8146-02D9706989A4}" presName="dummy4a" presStyleCnt="0"/>
      <dgm:spPr/>
    </dgm:pt>
    <dgm:pt modelId="{E7243655-F323-48D4-A007-8BEEAB5539F7}" type="pres">
      <dgm:prSet presAssocID="{EAD4985D-090B-4B9B-8146-02D9706989A4}" presName="dummy4b" presStyleCnt="0"/>
      <dgm:spPr/>
    </dgm:pt>
    <dgm:pt modelId="{30207541-E8C5-4A48-AB1D-7683459513B2}" type="pres">
      <dgm:prSet presAssocID="{EAD4985D-090B-4B9B-8146-02D9706989A4}" presName="wedge4Tx" presStyleLbl="node1" presStyleIdx="3" presStyleCnt="5">
        <dgm:presLayoutVars>
          <dgm:chMax val="0"/>
          <dgm:chPref val="0"/>
          <dgm:bulletEnabled val="1"/>
        </dgm:presLayoutVars>
      </dgm:prSet>
      <dgm:spPr/>
    </dgm:pt>
    <dgm:pt modelId="{FD666795-2918-4BFF-A00A-7CE6D36F42C3}" type="pres">
      <dgm:prSet presAssocID="{EAD4985D-090B-4B9B-8146-02D9706989A4}" presName="wedge5" presStyleLbl="node1" presStyleIdx="4" presStyleCnt="5"/>
      <dgm:spPr/>
    </dgm:pt>
    <dgm:pt modelId="{24274C8A-A64E-44FB-8355-8F9722A87D4B}" type="pres">
      <dgm:prSet presAssocID="{EAD4985D-090B-4B9B-8146-02D9706989A4}" presName="dummy5a" presStyleCnt="0"/>
      <dgm:spPr/>
    </dgm:pt>
    <dgm:pt modelId="{5D4EADFA-F49E-4611-8EBC-CA8CAE72A961}" type="pres">
      <dgm:prSet presAssocID="{EAD4985D-090B-4B9B-8146-02D9706989A4}" presName="dummy5b" presStyleCnt="0"/>
      <dgm:spPr/>
    </dgm:pt>
    <dgm:pt modelId="{B43224B0-91A5-4CE4-9D03-3B355AF9E988}" type="pres">
      <dgm:prSet presAssocID="{EAD4985D-090B-4B9B-8146-02D9706989A4}" presName="wedge5Tx" presStyleLbl="node1" presStyleIdx="4" presStyleCnt="5">
        <dgm:presLayoutVars>
          <dgm:chMax val="0"/>
          <dgm:chPref val="0"/>
          <dgm:bulletEnabled val="1"/>
        </dgm:presLayoutVars>
      </dgm:prSet>
      <dgm:spPr/>
    </dgm:pt>
    <dgm:pt modelId="{BEB73E83-FD99-4675-8BF8-FE3EA7C3B55F}" type="pres">
      <dgm:prSet presAssocID="{7D97DEB6-F023-4B1D-82B2-9789C2A71E09}" presName="arrowWedge1" presStyleLbl="fgSibTrans2D1" presStyleIdx="0" presStyleCnt="5"/>
      <dgm:spPr/>
    </dgm:pt>
    <dgm:pt modelId="{3F34BFE7-75F5-46FB-AA90-000C03217986}" type="pres">
      <dgm:prSet presAssocID="{55513105-4931-4D17-B6E8-5D6F8003A454}" presName="arrowWedge2" presStyleLbl="fgSibTrans2D1" presStyleIdx="1" presStyleCnt="5"/>
      <dgm:spPr/>
    </dgm:pt>
    <dgm:pt modelId="{2E2F7DD7-0744-4F7B-8691-E75CDAD431F0}" type="pres">
      <dgm:prSet presAssocID="{74F90927-AC4F-4923-AE50-5FE65F4EEE52}" presName="arrowWedge3" presStyleLbl="fgSibTrans2D1" presStyleIdx="2" presStyleCnt="5"/>
      <dgm:spPr/>
    </dgm:pt>
    <dgm:pt modelId="{CA8E1FBB-BDBD-4FEE-96C9-2009F7D04229}" type="pres">
      <dgm:prSet presAssocID="{44511B72-3D13-4B80-BABD-25487E8FFDE6}" presName="arrowWedge4" presStyleLbl="fgSibTrans2D1" presStyleIdx="3" presStyleCnt="5"/>
      <dgm:spPr>
        <a:solidFill>
          <a:schemeClr val="bg1">
            <a:lumMod val="65000"/>
          </a:schemeClr>
        </a:solidFill>
      </dgm:spPr>
    </dgm:pt>
    <dgm:pt modelId="{D4CB5682-2A0D-477F-BFE7-6815CCBC7B4A}" type="pres">
      <dgm:prSet presAssocID="{A73E2DAD-276C-4533-826A-0BDC306AF538}" presName="arrowWedge5" presStyleLbl="fgSibTrans2D1" presStyleIdx="4" presStyleCnt="5"/>
      <dgm:spPr/>
    </dgm:pt>
  </dgm:ptLst>
  <dgm:cxnLst>
    <dgm:cxn modelId="{20891807-3268-40F8-97B8-A5D815FA6A8F}" type="presOf" srcId="{82BCA2BF-9D33-41B2-8858-3ACFEACFAA7F}" destId="{861835C5-2FC0-4F5E-A23B-B6E82FD6B31F}" srcOrd="0" destOrd="0" presId="urn:microsoft.com/office/officeart/2005/8/layout/cycle8"/>
    <dgm:cxn modelId="{7A2FD420-43C7-41C8-B9FD-41EFAA9AC51C}" srcId="{EAD4985D-090B-4B9B-8146-02D9706989A4}" destId="{E6B76464-C609-4EAE-98EC-CAE9377E967E}" srcOrd="4" destOrd="0" parTransId="{78387076-0320-49BC-AFA1-E868B6132D93}" sibTransId="{A73E2DAD-276C-4533-826A-0BDC306AF538}"/>
    <dgm:cxn modelId="{AA4F3321-2EA8-4F04-BD3A-9DCBACFD82DA}" type="presOf" srcId="{7B962070-364B-4991-9815-7F268239F447}" destId="{CD1C8FB5-5A7A-454D-8D24-AA91647D16A2}" srcOrd="1" destOrd="0" presId="urn:microsoft.com/office/officeart/2005/8/layout/cycle8"/>
    <dgm:cxn modelId="{7144B632-DE7D-4275-A1C5-1FDB9CD60D32}" srcId="{EAD4985D-090B-4B9B-8146-02D9706989A4}" destId="{555962B3-27C5-4722-8626-E50FB94162A8}" srcOrd="3" destOrd="0" parTransId="{870C03E6-7995-4E00-B6A7-8F5A97166549}" sibTransId="{44511B72-3D13-4B80-BABD-25487E8FFDE6}"/>
    <dgm:cxn modelId="{CB7BE43C-FA1B-46F8-AEA6-A8E1D8C9AE71}" type="presOf" srcId="{555962B3-27C5-4722-8626-E50FB94162A8}" destId="{30207541-E8C5-4A48-AB1D-7683459513B2}" srcOrd="1" destOrd="0" presId="urn:microsoft.com/office/officeart/2005/8/layout/cycle8"/>
    <dgm:cxn modelId="{0203CF41-9441-4DA6-876F-FD6DD6FE6043}" srcId="{EAD4985D-090B-4B9B-8146-02D9706989A4}" destId="{7B962070-364B-4991-9815-7F268239F447}" srcOrd="1" destOrd="0" parTransId="{DA966E8B-7A14-41C7-8092-DC7178A5F389}" sibTransId="{55513105-4931-4D17-B6E8-5D6F8003A454}"/>
    <dgm:cxn modelId="{641FD063-913B-4210-B1EA-49E8282E3822}" type="presOf" srcId="{7B962070-364B-4991-9815-7F268239F447}" destId="{9202D6E7-E099-4A31-8A62-7F021F35DC44}" srcOrd="0" destOrd="0" presId="urn:microsoft.com/office/officeart/2005/8/layout/cycle8"/>
    <dgm:cxn modelId="{A4DE4E51-F8D1-4253-9015-A4E056FEABA6}" type="presOf" srcId="{555962B3-27C5-4722-8626-E50FB94162A8}" destId="{AC643F28-AB70-46C0-BB5F-01EE61F9FB41}" srcOrd="0" destOrd="0" presId="urn:microsoft.com/office/officeart/2005/8/layout/cycle8"/>
    <dgm:cxn modelId="{A3B4AD52-57A1-41D1-9B03-CC8954F255E2}" type="presOf" srcId="{E6B76464-C609-4EAE-98EC-CAE9377E967E}" destId="{B43224B0-91A5-4CE4-9D03-3B355AF9E988}" srcOrd="1" destOrd="0" presId="urn:microsoft.com/office/officeart/2005/8/layout/cycle8"/>
    <dgm:cxn modelId="{3E4AAC84-65E0-4376-8818-6B422679448C}" srcId="{EAD4985D-090B-4B9B-8146-02D9706989A4}" destId="{26955C32-DE06-4776-91C4-82A1D102BC24}" srcOrd="0" destOrd="0" parTransId="{35244680-987E-4D59-902A-6567933DB67D}" sibTransId="{7D97DEB6-F023-4B1D-82B2-9789C2A71E09}"/>
    <dgm:cxn modelId="{654A9D93-46BE-4577-A687-9433B11EB525}" type="presOf" srcId="{E6B76464-C609-4EAE-98EC-CAE9377E967E}" destId="{FD666795-2918-4BFF-A00A-7CE6D36F42C3}" srcOrd="0" destOrd="0" presId="urn:microsoft.com/office/officeart/2005/8/layout/cycle8"/>
    <dgm:cxn modelId="{322D8CD2-2010-4126-8050-DEC05A7CDCE7}" type="presOf" srcId="{26955C32-DE06-4776-91C4-82A1D102BC24}" destId="{2B6041B7-DCB1-45E7-96A3-CD8F14043EAF}" srcOrd="1" destOrd="0" presId="urn:microsoft.com/office/officeart/2005/8/layout/cycle8"/>
    <dgm:cxn modelId="{0E8A47EB-43CA-4641-A7E5-F5EE88A77029}" type="presOf" srcId="{82BCA2BF-9D33-41B2-8858-3ACFEACFAA7F}" destId="{BD0C07EF-F488-470A-9549-719EC3D1D663}" srcOrd="1" destOrd="0" presId="urn:microsoft.com/office/officeart/2005/8/layout/cycle8"/>
    <dgm:cxn modelId="{9325D3ED-6FFB-44E9-B18C-22008F1E0349}" type="presOf" srcId="{26955C32-DE06-4776-91C4-82A1D102BC24}" destId="{6A28AF42-B6C4-4D87-BD54-1818E4FD392C}" srcOrd="0" destOrd="0" presId="urn:microsoft.com/office/officeart/2005/8/layout/cycle8"/>
    <dgm:cxn modelId="{247DFBF9-7279-4EA7-A713-440361DF6166}" srcId="{EAD4985D-090B-4B9B-8146-02D9706989A4}" destId="{82BCA2BF-9D33-41B2-8858-3ACFEACFAA7F}" srcOrd="2" destOrd="0" parTransId="{398B0260-F918-4251-A4F4-4599F6745343}" sibTransId="{74F90927-AC4F-4923-AE50-5FE65F4EEE52}"/>
    <dgm:cxn modelId="{EFFC92FA-D28F-4CE6-BDD7-8598BCD41780}" type="presOf" srcId="{EAD4985D-090B-4B9B-8146-02D9706989A4}" destId="{796B4B8F-9315-4DE1-90FB-25773C0A3ADB}" srcOrd="0" destOrd="0" presId="urn:microsoft.com/office/officeart/2005/8/layout/cycle8"/>
    <dgm:cxn modelId="{49ABB2A9-AC2C-41AD-99B2-CD761DA4A0E4}" type="presParOf" srcId="{796B4B8F-9315-4DE1-90FB-25773C0A3ADB}" destId="{6A28AF42-B6C4-4D87-BD54-1818E4FD392C}" srcOrd="0" destOrd="0" presId="urn:microsoft.com/office/officeart/2005/8/layout/cycle8"/>
    <dgm:cxn modelId="{18964D78-3490-4081-9603-09D3F474E180}" type="presParOf" srcId="{796B4B8F-9315-4DE1-90FB-25773C0A3ADB}" destId="{72D42CDC-CFB3-43B0-A311-33EAC34D0065}" srcOrd="1" destOrd="0" presId="urn:microsoft.com/office/officeart/2005/8/layout/cycle8"/>
    <dgm:cxn modelId="{F2E07E75-A141-40C4-A87B-F0D87ADAE6E6}" type="presParOf" srcId="{796B4B8F-9315-4DE1-90FB-25773C0A3ADB}" destId="{7B6272B7-0A8B-4275-982B-61D1855BF0ED}" srcOrd="2" destOrd="0" presId="urn:microsoft.com/office/officeart/2005/8/layout/cycle8"/>
    <dgm:cxn modelId="{C3EE575E-CC57-4BF6-BDD6-244FB0043F57}" type="presParOf" srcId="{796B4B8F-9315-4DE1-90FB-25773C0A3ADB}" destId="{2B6041B7-DCB1-45E7-96A3-CD8F14043EAF}" srcOrd="3" destOrd="0" presId="urn:microsoft.com/office/officeart/2005/8/layout/cycle8"/>
    <dgm:cxn modelId="{889B3CAB-DF1D-4BEB-AE08-CE6D3F24B2EA}" type="presParOf" srcId="{796B4B8F-9315-4DE1-90FB-25773C0A3ADB}" destId="{9202D6E7-E099-4A31-8A62-7F021F35DC44}" srcOrd="4" destOrd="0" presId="urn:microsoft.com/office/officeart/2005/8/layout/cycle8"/>
    <dgm:cxn modelId="{0B2FE3A7-835D-4F60-AE91-8F63AD44D8B5}" type="presParOf" srcId="{796B4B8F-9315-4DE1-90FB-25773C0A3ADB}" destId="{A4C906CC-098E-4EA0-952D-C2DDEC0B3DAF}" srcOrd="5" destOrd="0" presId="urn:microsoft.com/office/officeart/2005/8/layout/cycle8"/>
    <dgm:cxn modelId="{920B0618-24C5-404E-9681-9A32D982E11B}" type="presParOf" srcId="{796B4B8F-9315-4DE1-90FB-25773C0A3ADB}" destId="{0D1E5D7F-F376-43FA-A433-859C96619692}" srcOrd="6" destOrd="0" presId="urn:microsoft.com/office/officeart/2005/8/layout/cycle8"/>
    <dgm:cxn modelId="{C236BF48-C5A4-4417-BF44-DEC1F847ABDA}" type="presParOf" srcId="{796B4B8F-9315-4DE1-90FB-25773C0A3ADB}" destId="{CD1C8FB5-5A7A-454D-8D24-AA91647D16A2}" srcOrd="7" destOrd="0" presId="urn:microsoft.com/office/officeart/2005/8/layout/cycle8"/>
    <dgm:cxn modelId="{16DF1144-EC46-4038-A014-C2675CB0CE39}" type="presParOf" srcId="{796B4B8F-9315-4DE1-90FB-25773C0A3ADB}" destId="{861835C5-2FC0-4F5E-A23B-B6E82FD6B31F}" srcOrd="8" destOrd="0" presId="urn:microsoft.com/office/officeart/2005/8/layout/cycle8"/>
    <dgm:cxn modelId="{621AB7EF-AA7C-4AD7-8911-8BCCB2B3EF66}" type="presParOf" srcId="{796B4B8F-9315-4DE1-90FB-25773C0A3ADB}" destId="{FE6059E9-2B67-4F55-8987-C537822BE07B}" srcOrd="9" destOrd="0" presId="urn:microsoft.com/office/officeart/2005/8/layout/cycle8"/>
    <dgm:cxn modelId="{B80D9CF1-7B7D-4D0D-B464-4ABDA10BD293}" type="presParOf" srcId="{796B4B8F-9315-4DE1-90FB-25773C0A3ADB}" destId="{7F13249F-52E5-4AA1-AA1A-7F9A8C4A497F}" srcOrd="10" destOrd="0" presId="urn:microsoft.com/office/officeart/2005/8/layout/cycle8"/>
    <dgm:cxn modelId="{0DDA2080-D375-47B6-AAC1-A1708C0EAFF3}" type="presParOf" srcId="{796B4B8F-9315-4DE1-90FB-25773C0A3ADB}" destId="{BD0C07EF-F488-470A-9549-719EC3D1D663}" srcOrd="11" destOrd="0" presId="urn:microsoft.com/office/officeart/2005/8/layout/cycle8"/>
    <dgm:cxn modelId="{0AD255FA-598C-4A7F-922B-C98AD81FBBE9}" type="presParOf" srcId="{796B4B8F-9315-4DE1-90FB-25773C0A3ADB}" destId="{AC643F28-AB70-46C0-BB5F-01EE61F9FB41}" srcOrd="12" destOrd="0" presId="urn:microsoft.com/office/officeart/2005/8/layout/cycle8"/>
    <dgm:cxn modelId="{AD1641A7-CA99-4EBA-9FF4-A967676EFA7D}" type="presParOf" srcId="{796B4B8F-9315-4DE1-90FB-25773C0A3ADB}" destId="{7875CCBC-0393-4E51-98F3-23CBB189D3AA}" srcOrd="13" destOrd="0" presId="urn:microsoft.com/office/officeart/2005/8/layout/cycle8"/>
    <dgm:cxn modelId="{281B2FAE-22BE-4697-ADBE-BEBD939FF296}" type="presParOf" srcId="{796B4B8F-9315-4DE1-90FB-25773C0A3ADB}" destId="{E7243655-F323-48D4-A007-8BEEAB5539F7}" srcOrd="14" destOrd="0" presId="urn:microsoft.com/office/officeart/2005/8/layout/cycle8"/>
    <dgm:cxn modelId="{051E9A6D-2A00-4E6A-9D8B-2EF3498E610E}" type="presParOf" srcId="{796B4B8F-9315-4DE1-90FB-25773C0A3ADB}" destId="{30207541-E8C5-4A48-AB1D-7683459513B2}" srcOrd="15" destOrd="0" presId="urn:microsoft.com/office/officeart/2005/8/layout/cycle8"/>
    <dgm:cxn modelId="{5B341051-3C14-4075-908D-5B779979C51C}" type="presParOf" srcId="{796B4B8F-9315-4DE1-90FB-25773C0A3ADB}" destId="{FD666795-2918-4BFF-A00A-7CE6D36F42C3}" srcOrd="16" destOrd="0" presId="urn:microsoft.com/office/officeart/2005/8/layout/cycle8"/>
    <dgm:cxn modelId="{F6320907-EAB8-42B8-A1E9-0B37D3086F80}" type="presParOf" srcId="{796B4B8F-9315-4DE1-90FB-25773C0A3ADB}" destId="{24274C8A-A64E-44FB-8355-8F9722A87D4B}" srcOrd="17" destOrd="0" presId="urn:microsoft.com/office/officeart/2005/8/layout/cycle8"/>
    <dgm:cxn modelId="{2AD5D5CA-4A52-4D9A-8894-051B0B480A12}" type="presParOf" srcId="{796B4B8F-9315-4DE1-90FB-25773C0A3ADB}" destId="{5D4EADFA-F49E-4611-8EBC-CA8CAE72A961}" srcOrd="18" destOrd="0" presId="urn:microsoft.com/office/officeart/2005/8/layout/cycle8"/>
    <dgm:cxn modelId="{3241532C-CC18-49D7-954E-C739AF8563C3}" type="presParOf" srcId="{796B4B8F-9315-4DE1-90FB-25773C0A3ADB}" destId="{B43224B0-91A5-4CE4-9D03-3B355AF9E988}" srcOrd="19" destOrd="0" presId="urn:microsoft.com/office/officeart/2005/8/layout/cycle8"/>
    <dgm:cxn modelId="{231286FB-8B6D-4A7F-B1E6-BDFB1D96558D}" type="presParOf" srcId="{796B4B8F-9315-4DE1-90FB-25773C0A3ADB}" destId="{BEB73E83-FD99-4675-8BF8-FE3EA7C3B55F}" srcOrd="20" destOrd="0" presId="urn:microsoft.com/office/officeart/2005/8/layout/cycle8"/>
    <dgm:cxn modelId="{D2C1FC37-401E-4567-AEF6-0D8A6B390F23}" type="presParOf" srcId="{796B4B8F-9315-4DE1-90FB-25773C0A3ADB}" destId="{3F34BFE7-75F5-46FB-AA90-000C03217986}" srcOrd="21" destOrd="0" presId="urn:microsoft.com/office/officeart/2005/8/layout/cycle8"/>
    <dgm:cxn modelId="{E5900B81-7A24-42FF-8BE2-3BD16F56CC26}" type="presParOf" srcId="{796B4B8F-9315-4DE1-90FB-25773C0A3ADB}" destId="{2E2F7DD7-0744-4F7B-8691-E75CDAD431F0}" srcOrd="22" destOrd="0" presId="urn:microsoft.com/office/officeart/2005/8/layout/cycle8"/>
    <dgm:cxn modelId="{3607B9F2-F4F1-4A38-9698-836B2ED598EC}" type="presParOf" srcId="{796B4B8F-9315-4DE1-90FB-25773C0A3ADB}" destId="{CA8E1FBB-BDBD-4FEE-96C9-2009F7D04229}" srcOrd="23" destOrd="0" presId="urn:microsoft.com/office/officeart/2005/8/layout/cycle8"/>
    <dgm:cxn modelId="{1B511496-05AC-4DA9-9EF6-A6B005EE46B4}" type="presParOf" srcId="{796B4B8F-9315-4DE1-90FB-25773C0A3ADB}" destId="{D4CB5682-2A0D-477F-BFE7-6815CCBC7B4A}" srcOrd="24" destOrd="0" presId="urn:microsoft.com/office/officeart/2005/8/layout/cycle8"/>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A28AF42-B6C4-4D87-BD54-1818E4FD392C}">
      <dsp:nvSpPr>
        <dsp:cNvPr id="0" name=""/>
        <dsp:cNvSpPr/>
      </dsp:nvSpPr>
      <dsp:spPr>
        <a:xfrm>
          <a:off x="470415" y="168192"/>
          <a:ext cx="2282419" cy="2282419"/>
        </a:xfrm>
        <a:prstGeom prst="pie">
          <a:avLst>
            <a:gd name="adj1" fmla="val 16200000"/>
            <a:gd name="adj2" fmla="val 2052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311150">
            <a:lnSpc>
              <a:spcPct val="90000"/>
            </a:lnSpc>
            <a:spcBef>
              <a:spcPct val="0"/>
            </a:spcBef>
            <a:spcAft>
              <a:spcPct val="35000"/>
            </a:spcAft>
            <a:buNone/>
          </a:pPr>
          <a:r>
            <a:rPr lang="sv-SE" sz="700" kern="1200"/>
            <a:t>Transport</a:t>
          </a:r>
        </a:p>
      </dsp:txBody>
      <dsp:txXfrm>
        <a:off x="1661077" y="551856"/>
        <a:ext cx="733634" cy="489089"/>
      </dsp:txXfrm>
    </dsp:sp>
    <dsp:sp modelId="{9202D6E7-E099-4A31-8A62-7F021F35DC44}">
      <dsp:nvSpPr>
        <dsp:cNvPr id="0" name=""/>
        <dsp:cNvSpPr/>
      </dsp:nvSpPr>
      <dsp:spPr>
        <a:xfrm>
          <a:off x="489978" y="229057"/>
          <a:ext cx="2282419" cy="2282419"/>
        </a:xfrm>
        <a:prstGeom prst="pie">
          <a:avLst>
            <a:gd name="adj1" fmla="val 20520000"/>
            <a:gd name="adj2" fmla="val 324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311150">
            <a:lnSpc>
              <a:spcPct val="90000"/>
            </a:lnSpc>
            <a:spcBef>
              <a:spcPct val="0"/>
            </a:spcBef>
            <a:spcAft>
              <a:spcPct val="35000"/>
            </a:spcAft>
            <a:buNone/>
          </a:pPr>
          <a:r>
            <a:rPr lang="sv-SE" sz="700" kern="1200"/>
            <a:t>Installation</a:t>
          </a:r>
        </a:p>
      </dsp:txBody>
      <dsp:txXfrm>
        <a:off x="1959965" y="1271905"/>
        <a:ext cx="679291" cy="543433"/>
      </dsp:txXfrm>
    </dsp:sp>
    <dsp:sp modelId="{861835C5-2FC0-4F5E-A23B-B6E82FD6B31F}">
      <dsp:nvSpPr>
        <dsp:cNvPr id="0" name=""/>
        <dsp:cNvSpPr/>
      </dsp:nvSpPr>
      <dsp:spPr>
        <a:xfrm>
          <a:off x="438352" y="266553"/>
          <a:ext cx="2282419" cy="2282419"/>
        </a:xfrm>
        <a:prstGeom prst="pie">
          <a:avLst>
            <a:gd name="adj1" fmla="val 3240000"/>
            <a:gd name="adj2" fmla="val 756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311150">
            <a:lnSpc>
              <a:spcPct val="90000"/>
            </a:lnSpc>
            <a:spcBef>
              <a:spcPct val="0"/>
            </a:spcBef>
            <a:spcAft>
              <a:spcPct val="35000"/>
            </a:spcAft>
            <a:buNone/>
          </a:pPr>
          <a:r>
            <a:rPr lang="sv-SE" sz="700" kern="1200"/>
            <a:t>Drift och underhåll</a:t>
          </a:r>
        </a:p>
      </dsp:txBody>
      <dsp:txXfrm>
        <a:off x="1253502" y="1869681"/>
        <a:ext cx="652119" cy="597776"/>
      </dsp:txXfrm>
    </dsp:sp>
    <dsp:sp modelId="{AC643F28-AB70-46C0-BB5F-01EE61F9FB41}">
      <dsp:nvSpPr>
        <dsp:cNvPr id="0" name=""/>
        <dsp:cNvSpPr/>
      </dsp:nvSpPr>
      <dsp:spPr>
        <a:xfrm>
          <a:off x="386726" y="229057"/>
          <a:ext cx="2282419" cy="2282419"/>
        </a:xfrm>
        <a:prstGeom prst="pie">
          <a:avLst>
            <a:gd name="adj1" fmla="val 7560000"/>
            <a:gd name="adj2" fmla="val 11880000"/>
          </a:avLst>
        </a:prstGeom>
        <a:solidFill>
          <a:schemeClr val="bg2">
            <a:lumMod val="5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311150">
            <a:lnSpc>
              <a:spcPct val="90000"/>
            </a:lnSpc>
            <a:spcBef>
              <a:spcPct val="0"/>
            </a:spcBef>
            <a:spcAft>
              <a:spcPct val="35000"/>
            </a:spcAft>
            <a:buNone/>
          </a:pPr>
          <a:r>
            <a:rPr lang="sv-SE" sz="700" kern="1200"/>
            <a:t>Slutskede</a:t>
          </a:r>
        </a:p>
      </dsp:txBody>
      <dsp:txXfrm>
        <a:off x="519867" y="1271905"/>
        <a:ext cx="679291" cy="543433"/>
      </dsp:txXfrm>
    </dsp:sp>
    <dsp:sp modelId="{FD666795-2918-4BFF-A00A-7CE6D36F42C3}">
      <dsp:nvSpPr>
        <dsp:cNvPr id="0" name=""/>
        <dsp:cNvSpPr/>
      </dsp:nvSpPr>
      <dsp:spPr>
        <a:xfrm>
          <a:off x="406290" y="168192"/>
          <a:ext cx="2282419" cy="2282419"/>
        </a:xfrm>
        <a:prstGeom prst="pie">
          <a:avLst>
            <a:gd name="adj1" fmla="val 11880000"/>
            <a:gd name="adj2" fmla="val 1620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311150">
            <a:lnSpc>
              <a:spcPct val="90000"/>
            </a:lnSpc>
            <a:spcBef>
              <a:spcPct val="0"/>
            </a:spcBef>
            <a:spcAft>
              <a:spcPct val="35000"/>
            </a:spcAft>
            <a:buNone/>
          </a:pPr>
          <a:r>
            <a:rPr lang="sv-SE" sz="700" kern="1200"/>
            <a:t>Materialproduktion</a:t>
          </a:r>
        </a:p>
      </dsp:txBody>
      <dsp:txXfrm>
        <a:off x="764412" y="551856"/>
        <a:ext cx="733634" cy="489089"/>
      </dsp:txXfrm>
    </dsp:sp>
    <dsp:sp modelId="{BEB73E83-FD99-4675-8BF8-FE3EA7C3B55F}">
      <dsp:nvSpPr>
        <dsp:cNvPr id="0" name=""/>
        <dsp:cNvSpPr/>
      </dsp:nvSpPr>
      <dsp:spPr>
        <a:xfrm>
          <a:off x="329015" y="26899"/>
          <a:ext cx="2565004" cy="2565004"/>
        </a:xfrm>
        <a:prstGeom prst="circularArrow">
          <a:avLst>
            <a:gd name="adj1" fmla="val 5085"/>
            <a:gd name="adj2" fmla="val 327528"/>
            <a:gd name="adj3" fmla="val 20192361"/>
            <a:gd name="adj4" fmla="val 16200324"/>
            <a:gd name="adj5" fmla="val 5932"/>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3F34BFE7-75F5-46FB-AA90-000C03217986}">
      <dsp:nvSpPr>
        <dsp:cNvPr id="0" name=""/>
        <dsp:cNvSpPr/>
      </dsp:nvSpPr>
      <dsp:spPr>
        <a:xfrm>
          <a:off x="348844" y="87744"/>
          <a:ext cx="2565004" cy="2565004"/>
        </a:xfrm>
        <a:prstGeom prst="circularArrow">
          <a:avLst>
            <a:gd name="adj1" fmla="val 5085"/>
            <a:gd name="adj2" fmla="val 327528"/>
            <a:gd name="adj3" fmla="val 2912753"/>
            <a:gd name="adj4" fmla="val 20519953"/>
            <a:gd name="adj5" fmla="val 5932"/>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2E2F7DD7-0744-4F7B-8691-E75CDAD431F0}">
      <dsp:nvSpPr>
        <dsp:cNvPr id="0" name=""/>
        <dsp:cNvSpPr/>
      </dsp:nvSpPr>
      <dsp:spPr>
        <a:xfrm>
          <a:off x="297060" y="125355"/>
          <a:ext cx="2565004" cy="2565004"/>
        </a:xfrm>
        <a:prstGeom prst="circularArrow">
          <a:avLst>
            <a:gd name="adj1" fmla="val 5085"/>
            <a:gd name="adj2" fmla="val 327528"/>
            <a:gd name="adj3" fmla="val 7232777"/>
            <a:gd name="adj4" fmla="val 3239695"/>
            <a:gd name="adj5" fmla="val 5932"/>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CA8E1FBB-BDBD-4FEE-96C9-2009F7D04229}">
      <dsp:nvSpPr>
        <dsp:cNvPr id="0" name=""/>
        <dsp:cNvSpPr/>
      </dsp:nvSpPr>
      <dsp:spPr>
        <a:xfrm>
          <a:off x="245276" y="87744"/>
          <a:ext cx="2565004" cy="2565004"/>
        </a:xfrm>
        <a:prstGeom prst="circularArrow">
          <a:avLst>
            <a:gd name="adj1" fmla="val 5085"/>
            <a:gd name="adj2" fmla="val 327528"/>
            <a:gd name="adj3" fmla="val 11552519"/>
            <a:gd name="adj4" fmla="val 7559718"/>
            <a:gd name="adj5" fmla="val 5932"/>
          </a:avLst>
        </a:prstGeom>
        <a:solidFill>
          <a:schemeClr val="bg1">
            <a:lumMod val="65000"/>
          </a:schemeClr>
        </a:solidFill>
        <a:ln>
          <a:noFill/>
        </a:ln>
        <a:effectLst/>
      </dsp:spPr>
      <dsp:style>
        <a:lnRef idx="0">
          <a:scrgbClr r="0" g="0" b="0"/>
        </a:lnRef>
        <a:fillRef idx="1">
          <a:scrgbClr r="0" g="0" b="0"/>
        </a:fillRef>
        <a:effectRef idx="0">
          <a:scrgbClr r="0" g="0" b="0"/>
        </a:effectRef>
        <a:fontRef idx="minor">
          <a:schemeClr val="lt1"/>
        </a:fontRef>
      </dsp:style>
    </dsp:sp>
    <dsp:sp modelId="{D4CB5682-2A0D-477F-BFE7-6815CCBC7B4A}">
      <dsp:nvSpPr>
        <dsp:cNvPr id="0" name=""/>
        <dsp:cNvSpPr/>
      </dsp:nvSpPr>
      <dsp:spPr>
        <a:xfrm>
          <a:off x="265105" y="26899"/>
          <a:ext cx="2565004" cy="2565004"/>
        </a:xfrm>
        <a:prstGeom prst="circularArrow">
          <a:avLst>
            <a:gd name="adj1" fmla="val 5085"/>
            <a:gd name="adj2" fmla="val 327528"/>
            <a:gd name="adj3" fmla="val 15872148"/>
            <a:gd name="adj4" fmla="val 11880111"/>
            <a:gd name="adj5" fmla="val 5932"/>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Tree>
</dsp:drawing>
</file>

<file path=xl/diagrams/layout1.xml><?xml version="1.0" encoding="utf-8"?>
<dgm:layoutDef xmlns:dgm="http://schemas.openxmlformats.org/drawingml/2006/diagram" xmlns:a="http://schemas.openxmlformats.org/drawingml/2006/main" uniqueId="urn:microsoft.com/office/officeart/2005/8/layout/cycle8">
  <dgm:title val=""/>
  <dgm:desc val=""/>
  <dgm:catLst>
    <dgm:cat type="cycle" pri="7000"/>
  </dgm:catLst>
  <dgm:sampData useDef="1">
    <dgm:dataModel>
      <dgm:ptLst/>
      <dgm:bg/>
      <dgm:whole/>
    </dgm:dataModel>
  </dgm:sampData>
  <dgm:styleData useDef="1">
    <dgm:dataModel>
      <dgm:ptLst/>
      <dgm:bg/>
      <dgm:whole/>
    </dgm:dataModel>
  </dgm:styleData>
  <dgm:clrData>
    <dgm:dataModel>
      <dgm:ptLst>
        <dgm:pt modelId="0" type="doc"/>
        <dgm:pt modelId="1"/>
        <dgm:pt modelId="2"/>
        <dgm:pt modelId="3"/>
        <dgm:pt modelId="4"/>
        <dgm:pt modelId="5"/>
      </dgm:ptLst>
      <dgm:cxnLst>
        <dgm:cxn modelId="7" srcId="0" destId="1" srcOrd="0" destOrd="0"/>
        <dgm:cxn modelId="8" srcId="0" destId="2" srcOrd="1" destOrd="0"/>
        <dgm:cxn modelId="9" srcId="0" destId="3" srcOrd="2" destOrd="0"/>
        <dgm:cxn modelId="10" srcId="0" destId="4" srcOrd="3" destOrd="0"/>
        <dgm:cxn modelId="11" srcId="0" destId="5" srcOrd="4" destOrd="0"/>
      </dgm:cxnLst>
      <dgm:bg/>
      <dgm:whole/>
    </dgm:dataModel>
  </dgm:clrData>
  <dgm:layoutNode name="compositeShape">
    <dgm:varLst>
      <dgm:chMax val="7"/>
      <dgm:dir/>
      <dgm:resizeHandles val="exact"/>
    </dgm:varLst>
    <dgm:alg type="composite">
      <dgm:param type="horzAlign" val="ctr"/>
      <dgm:param type="vertAlign" val="mid"/>
      <dgm:param type="ar" val="1"/>
    </dgm:alg>
    <dgm:shape xmlns:r="http://schemas.openxmlformats.org/officeDocument/2006/relationships" r:blip="">
      <dgm:adjLst/>
    </dgm:shape>
    <dgm:presOf/>
    <dgm:choose name="Name0">
      <dgm:if name="Name1" axis="ch" ptType="node" func="cnt" op="equ" val="1">
        <dgm:constrLst>
          <dgm:constr type="l" for="ch" forName="wedge1" refType="w" fact="0.08"/>
          <dgm:constr type="t" for="ch" forName="wedge1" refType="w" fact="0.08"/>
          <dgm:constr type="w" for="ch" forName="wedge1" refType="w" fact="0.84"/>
          <dgm:constr type="h" for="ch" forName="wedge1" refType="h" fact="0.84"/>
          <dgm:constr type="l" for="ch" forName="dummy1a" refType="w" fact="0.5"/>
          <dgm:constr type="t" for="ch" forName="dummy1a" refType="h" fact="0.08"/>
          <dgm:constr type="l" for="ch" forName="dummy1b" refType="w" fact="0.5"/>
          <dgm:constr type="t" for="ch" forName="dummy1b" refType="h" fact="0.08"/>
          <dgm:constr type="l" for="ch" forName="wedge1Tx" refType="w" fact="0.22"/>
          <dgm:constr type="t" for="ch" forName="wedge1Tx" refType="h" fact="0.22"/>
          <dgm:constr type="w" for="ch" forName="wedge1Tx" refType="w" fact="0.56"/>
          <dgm:constr type="h" for="ch" forName="wedge1Tx" refType="h" fact="0.56"/>
          <dgm:constr type="h" for="ch" forName="arrowWedge1single" refType="w" fact="0.08"/>
          <dgm:constr type="diam" for="ch" forName="arrowWedge1single" refType="w" fact="0.84"/>
          <dgm:constr type="l" for="ch" forName="arrowWedge1single" refType="w" fact="0.5"/>
          <dgm:constr type="t" for="ch" forName="arrowWedge1single" refType="w" fact="0.5"/>
          <dgm:constr type="primFontSz" for="ch" ptType="node" op="equ"/>
        </dgm:constrLst>
      </dgm:if>
      <dgm:if name="Name2" axis="ch" ptType="node" func="cnt" op="equ" val="2">
        <dgm:constrLst>
          <dgm:constr type="l" for="ch" forName="wedge1" refType="w" fact="0.1"/>
          <dgm:constr type="t" for="ch" forName="wedge1" refType="w" fact="0.08"/>
          <dgm:constr type="w" for="ch" forName="wedge1" refType="w" fact="0.84"/>
          <dgm:constr type="h" for="ch" forName="wedge1" refType="h" fact="0.84"/>
          <dgm:constr type="l" for="ch" forName="dummy1a" refType="w" fact="0.52"/>
          <dgm:constr type="t" for="ch" forName="dummy1a" refType="h" fact="0.08"/>
          <dgm:constr type="l" for="ch" forName="dummy1b" refType="w" fact="0.52"/>
          <dgm:constr type="t" for="ch" forName="dummy1b" refType="h" fact="0.92"/>
          <dgm:constr type="l" for="ch" forName="wedge1Tx" refType="w" fact="0.559"/>
          <dgm:constr type="t" for="ch" forName="wedge1Tx" refType="h" fact="0.3"/>
          <dgm:constr type="w" for="ch" forName="wedge1Tx" refType="w" fact="0.3"/>
          <dgm:constr type="h" for="ch" forName="wedge1Tx" refType="h" fact="0.4"/>
          <dgm:constr type="l" for="ch" forName="wedge2" refType="w" fact="0.06"/>
          <dgm:constr type="t" for="ch" forName="wedge2" refType="w" fact="0.08"/>
          <dgm:constr type="w" for="ch" forName="wedge2" refType="w" fact="0.84"/>
          <dgm:constr type="h" for="ch" forName="wedge2" refType="h" fact="0.84"/>
          <dgm:constr type="l" for="ch" forName="dummy2a" refType="w" fact="0.48"/>
          <dgm:constr type="t" for="ch" forName="dummy2a" refType="h" fact="0.92"/>
          <dgm:constr type="l" for="ch" forName="dummy2b" refType="w" fact="0.48"/>
          <dgm:constr type="t" for="ch" forName="dummy2b" refType="h" fact="0.08"/>
          <dgm:constr type="r" for="ch" forName="wedge2Tx" refType="w" fact="0.441"/>
          <dgm:constr type="t" for="ch" forName="wedge2Tx" refType="h" fact="0.3"/>
          <dgm:constr type="w" for="ch" forName="wedge2Tx" refType="w" fact="0.3"/>
          <dgm:constr type="h" for="ch" forName="wedge2Tx" refType="h" fact="0.4"/>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primFontSz" for="ch" ptType="node" op="equ"/>
        </dgm:constrLst>
      </dgm:if>
      <dgm:if name="Name3" axis="ch" ptType="node" func="cnt" op="equ" val="3">
        <dgm:constrLst>
          <dgm:constr type="l" for="ch" forName="wedge1" refType="w" fact="0.0973"/>
          <dgm:constr type="t" for="ch" forName="wedge1" refType="w" fact="0.07"/>
          <dgm:constr type="w" for="ch" forName="wedge1" refType="w" fact="0.84"/>
          <dgm:constr type="h" for="ch" forName="wedge1" refType="h" fact="0.84"/>
          <dgm:constr type="l" for="ch" forName="dummy1a" refType="w" fact="0.5173"/>
          <dgm:constr type="t" for="ch" forName="dummy1a" refType="h" fact="0.07"/>
          <dgm:constr type="l" for="ch" forName="dummy1b" refType="w" fact="0.8811"/>
          <dgm:constr type="t" for="ch" forName="dummy1b" refType="h" fact="0.7"/>
          <dgm:constr type="l" for="ch" forName="wedge1Tx" refType="w" fact="0.54"/>
          <dgm:constr type="t" for="ch" forName="wedge1Tx" refType="h" fact="0.248"/>
          <dgm:constr type="w" for="ch" forName="wedge1Tx" refType="w" fact="0.3"/>
          <dgm:constr type="h" for="ch" forName="wedge1Tx" refType="h" fact="0.25"/>
          <dgm:constr type="l" for="ch" forName="wedge2" refType="w" fact="0.08"/>
          <dgm:constr type="t" for="ch" forName="wedge2" refType="w" fact="0.1"/>
          <dgm:constr type="w" for="ch" forName="wedge2" refType="w" fact="0.84"/>
          <dgm:constr type="h" for="ch" forName="wedge2" refType="h" fact="0.84"/>
          <dgm:constr type="l" for="ch" forName="dummy2a" refType="w" fact="0.8637"/>
          <dgm:constr type="t" for="ch" forName="dummy2a" refType="h" fact="0.73"/>
          <dgm:constr type="l" for="ch" forName="dummy2b" refType="w" fact="0.1363"/>
          <dgm:constr type="t" for="ch" forName="dummy2b" refType="h" fact="0.73"/>
          <dgm:constr type="l" for="ch" forName="wedge2Tx" refType="w" fact="0.28"/>
          <dgm:constr type="t" for="ch" forName="wedge2Tx" refType="h" fact="0.645"/>
          <dgm:constr type="w" for="ch" forName="wedge2Tx" refType="w" fact="0.45"/>
          <dgm:constr type="h" for="ch" forName="wedge2Tx" refType="h" fact="0.22"/>
          <dgm:constr type="l" for="ch" forName="wedge3" refType="w" fact="0.0627"/>
          <dgm:constr type="t" for="ch" forName="wedge3" refType="w" fact="0.07"/>
          <dgm:constr type="w" for="ch" forName="wedge3" refType="w" fact="0.84"/>
          <dgm:constr type="h" for="ch" forName="wedge3" refType="h" fact="0.84"/>
          <dgm:constr type="l" for="ch" forName="dummy3a" refType="w" fact="0.1189"/>
          <dgm:constr type="t" for="ch" forName="dummy3a" refType="h" fact="0.7"/>
          <dgm:constr type="l" for="ch" forName="dummy3b" refType="w" fact="0.4827"/>
          <dgm:constr type="t" for="ch" forName="dummy3b" refType="h" fact="0.07"/>
          <dgm:constr type="r" for="ch" forName="wedge3Tx" refType="w" fact="0.46"/>
          <dgm:constr type="t" for="ch" forName="wedge3Tx" refType="h" fact="0.248"/>
          <dgm:constr type="w" for="ch" forName="wedge3Tx" refType="w" fact="0.3"/>
          <dgm:constr type="h" for="ch" forName="wedge3Tx" refType="h" fact="0.25"/>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h" for="ch" forName="arrowWedge3" refType="w" fact="0.08"/>
          <dgm:constr type="diam" for="ch" forName="arrowWedge3" refType="w" fact="0.84"/>
          <dgm:constr type="l" for="ch" forName="arrowWedge3" refType="w" fact="0.5"/>
          <dgm:constr type="t" for="ch" forName="arrowWedge3" refType="w" fact="0.5"/>
          <dgm:constr type="primFontSz" for="ch" ptType="node" op="equ"/>
        </dgm:constrLst>
      </dgm:if>
      <dgm:if name="Name4" axis="ch" ptType="node" func="cnt" op="equ" val="4">
        <dgm:constrLst>
          <dgm:constr type="l" for="ch" forName="wedge1" refType="w" fact="0.0941"/>
          <dgm:constr type="t" for="ch" forName="wedge1" refType="w" fact="0.0659"/>
          <dgm:constr type="w" for="ch" forName="wedge1" refType="w" fact="0.84"/>
          <dgm:constr type="h" for="ch" forName="wedge1" refType="h" fact="0.84"/>
          <dgm:constr type="l" for="ch" forName="dummy1a" refType="w" fact="0.5141"/>
          <dgm:constr type="t" for="ch" forName="dummy1a" refType="h" fact="0.0659"/>
          <dgm:constr type="l" for="ch" forName="dummy1b" refType="w" fact="0.9341"/>
          <dgm:constr type="t" for="ch" forName="dummy1b" refType="h" fact="0.4859"/>
          <dgm:constr type="l" for="ch" forName="wedge1Tx" refType="w" fact="0.54"/>
          <dgm:constr type="t" for="ch" forName="wedge1Tx" refType="h" fact="0.24"/>
          <dgm:constr type="w" for="ch" forName="wedge1Tx" refType="w" fact="0.31"/>
          <dgm:constr type="h" for="ch" forName="wedge1Tx" refType="h" fact="0.23"/>
          <dgm:constr type="l" for="ch" forName="wedge2" refType="w" fact="0.0941"/>
          <dgm:constr type="t" for="ch" forName="wedge2" refType="w" fact="0.0941"/>
          <dgm:constr type="w" for="ch" forName="wedge2" refType="w" fact="0.84"/>
          <dgm:constr type="h" for="ch" forName="wedge2" refType="h" fact="0.84"/>
          <dgm:constr type="l" for="ch" forName="dummy2a" refType="w" fact="0.9341"/>
          <dgm:constr type="t" for="ch" forName="dummy2a" refType="h" fact="0.5141"/>
          <dgm:constr type="l" for="ch" forName="dummy2b" refType="w" fact="0.5141"/>
          <dgm:constr type="t" for="ch" forName="dummy2b" refType="h" fact="0.9341"/>
          <dgm:constr type="l" for="ch" forName="wedge2Tx" refType="w" fact="0.54"/>
          <dgm:constr type="t" for="ch" forName="wedge2Tx" refType="h" fact="0.53"/>
          <dgm:constr type="w" for="ch" forName="wedge2Tx" refType="w" fact="0.31"/>
          <dgm:constr type="h" for="ch" forName="wedge2Tx" refType="h" fact="0.23"/>
          <dgm:constr type="l" for="ch" forName="wedge3" refType="w" fact="0.0659"/>
          <dgm:constr type="t" for="ch" forName="wedge3" refType="w" fact="0.0941"/>
          <dgm:constr type="w" for="ch" forName="wedge3" refType="w" fact="0.84"/>
          <dgm:constr type="h" for="ch" forName="wedge3" refType="h" fact="0.84"/>
          <dgm:constr type="l" for="ch" forName="dummy3a" refType="w" fact="0.4859"/>
          <dgm:constr type="t" for="ch" forName="dummy3a" refType="h" fact="0.9341"/>
          <dgm:constr type="l" for="ch" forName="dummy3b" refType="w" fact="0.0659"/>
          <dgm:constr type="t" for="ch" forName="dummy3b" refType="h" fact="0.5141"/>
          <dgm:constr type="r" for="ch" forName="wedge3Tx" refType="w" fact="0.46"/>
          <dgm:constr type="t" for="ch" forName="wedge3Tx" refType="h" fact="0.53"/>
          <dgm:constr type="w" for="ch" forName="wedge3Tx" refType="w" fact="0.31"/>
          <dgm:constr type="h" for="ch" forName="wedge3Tx" refType="h" fact="0.23"/>
          <dgm:constr type="l" for="ch" forName="wedge4" refType="w" fact="0.0659"/>
          <dgm:constr type="t" for="ch" forName="wedge4" refType="h" fact="0.0659"/>
          <dgm:constr type="w" for="ch" forName="wedge4" refType="w" fact="0.84"/>
          <dgm:constr type="h" for="ch" forName="wedge4" refType="h" fact="0.84"/>
          <dgm:constr type="l" for="ch" forName="dummy4a" refType="w" fact="0.0659"/>
          <dgm:constr type="t" for="ch" forName="dummy4a" refType="h" fact="0.4859"/>
          <dgm:constr type="l" for="ch" forName="dummy4b" refType="w" fact="0.4859"/>
          <dgm:constr type="t" for="ch" forName="dummy4b" refType="h" fact="0.0659"/>
          <dgm:constr type="r" for="ch" forName="wedge4Tx" refType="w" fact="0.46"/>
          <dgm:constr type="t" for="ch" forName="wedge4Tx" refType="h" fact="0.24"/>
          <dgm:constr type="w" for="ch" forName="wedge4Tx" refType="w" fact="0.31"/>
          <dgm:constr type="h" for="ch" forName="wedge4Tx" refType="h" fact="0.23"/>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h" for="ch" forName="arrowWedge3" refType="w" fact="0.08"/>
          <dgm:constr type="diam" for="ch" forName="arrowWedge3" refType="w" fact="0.84"/>
          <dgm:constr type="l" for="ch" forName="arrowWedge3" refType="w" fact="0.5"/>
          <dgm:constr type="t" for="ch" forName="arrowWedge3" refType="w" fact="0.5"/>
          <dgm:constr type="h" for="ch" forName="arrowWedge4" refType="w" fact="0.08"/>
          <dgm:constr type="diam" for="ch" forName="arrowWedge4" refType="w" fact="0.84"/>
          <dgm:constr type="l" for="ch" forName="arrowWedge4" refType="w" fact="0.5"/>
          <dgm:constr type="t" for="ch" forName="arrowWedge4" refType="w" fact="0.5"/>
          <dgm:constr type="primFontSz" for="ch" ptType="node" op="equ"/>
        </dgm:constrLst>
      </dgm:if>
      <dgm:if name="Name5" axis="ch" ptType="node" func="cnt" op="equ" val="5">
        <dgm:constrLst>
          <dgm:constr type="l" for="ch" forName="wedge1" refType="w" fact="0.0918"/>
          <dgm:constr type="t" for="ch" forName="wedge1" refType="w" fact="0.0638"/>
          <dgm:constr type="w" for="ch" forName="wedge1" refType="w" fact="0.84"/>
          <dgm:constr type="h" for="ch" forName="wedge1" refType="h" fact="0.84"/>
          <dgm:constr type="l" for="ch" forName="dummy1a" refType="w" fact="0.5118"/>
          <dgm:constr type="t" for="ch" forName="dummy1a" refType="h" fact="0.0638"/>
          <dgm:constr type="l" for="ch" forName="dummy1b" refType="w" fact="0.9112"/>
          <dgm:constr type="t" for="ch" forName="dummy1b" refType="h" fact="0.354"/>
          <dgm:constr type="l" for="ch" forName="wedge1Tx" refType="w" fact="0.53"/>
          <dgm:constr type="t" for="ch" forName="wedge1Tx" refType="h" fact="0.205"/>
          <dgm:constr type="w" for="ch" forName="wedge1Tx" refType="w" fact="0.27"/>
          <dgm:constr type="h" for="ch" forName="wedge1Tx" refType="h" fact="0.18"/>
          <dgm:constr type="l" for="ch" forName="wedge2" refType="w" fact="0.099"/>
          <dgm:constr type="t" for="ch" forName="wedge2" refType="w" fact="0.0862"/>
          <dgm:constr type="w" for="ch" forName="wedge2" refType="w" fact="0.84"/>
          <dgm:constr type="h" for="ch" forName="wedge2" refType="h" fact="0.84"/>
          <dgm:constr type="l" for="ch" forName="dummy2a" refType="w" fact="0.9185"/>
          <dgm:constr type="t" for="ch" forName="dummy2a" refType="h" fact="0.3764"/>
          <dgm:constr type="l" for="ch" forName="dummy2b" refType="w" fact="0.7659"/>
          <dgm:constr type="t" for="ch" forName="dummy2b" refType="h" fact="0.846"/>
          <dgm:constr type="l" for="ch" forName="wedge2Tx" refType="w" fact="0.64"/>
          <dgm:constr type="t" for="ch" forName="wedge2Tx" refType="h" fact="0.47"/>
          <dgm:constr type="w" for="ch" forName="wedge2Tx" refType="w" fact="0.25"/>
          <dgm:constr type="h" for="ch" forName="wedge2Tx" refType="h" fact="0.2"/>
          <dgm:constr type="l" for="ch" forName="wedge3" refType="w" fact="0.08"/>
          <dgm:constr type="t" for="ch" forName="wedge3" refType="w" fact="0.1"/>
          <dgm:constr type="w" for="ch" forName="wedge3" refType="w" fact="0.84"/>
          <dgm:constr type="h" for="ch" forName="wedge3" refType="h" fact="0.84"/>
          <dgm:constr type="l" for="ch" forName="dummy3a" refType="w" fact="0.7469"/>
          <dgm:constr type="t" for="ch" forName="dummy3a" refType="h" fact="0.8598"/>
          <dgm:constr type="l" for="ch" forName="dummy3b" refType="w" fact="0.2531"/>
          <dgm:constr type="t" for="ch" forName="dummy3b" refType="h" fact="0.8598"/>
          <dgm:constr type="l" for="ch" forName="wedge3Tx" refType="w" fact="0.38"/>
          <dgm:constr type="t" for="ch" forName="wedge3Tx" refType="h" fact="0.69"/>
          <dgm:constr type="w" for="ch" forName="wedge3Tx" refType="w" fact="0.24"/>
          <dgm:constr type="h" for="ch" forName="wedge3Tx" refType="h" fact="0.22"/>
          <dgm:constr type="l" for="ch" forName="wedge4" refType="w" fact="0.061"/>
          <dgm:constr type="t" for="ch" forName="wedge4" refType="h" fact="0.0862"/>
          <dgm:constr type="w" for="ch" forName="wedge4" refType="w" fact="0.84"/>
          <dgm:constr type="h" for="ch" forName="wedge4" refType="h" fact="0.84"/>
          <dgm:constr type="l" for="ch" forName="dummy4a" refType="w" fact="0.2341"/>
          <dgm:constr type="t" for="ch" forName="dummy4a" refType="h" fact="0.846"/>
          <dgm:constr type="l" for="ch" forName="dummy4b" refType="w" fact="0.0815"/>
          <dgm:constr type="t" for="ch" forName="dummy4b" refType="h" fact="0.3764"/>
          <dgm:constr type="r" for="ch" forName="wedge4Tx" refType="w" fact="0.36"/>
          <dgm:constr type="t" for="ch" forName="wedge4Tx" refType="h" fact="0.47"/>
          <dgm:constr type="w" for="ch" forName="wedge4Tx" refType="w" fact="0.25"/>
          <dgm:constr type="h" for="ch" forName="wedge4Tx" refType="h" fact="0.2"/>
          <dgm:constr type="l" for="ch" forName="wedge5" refType="w" fact="0.0682"/>
          <dgm:constr type="t" for="ch" forName="wedge5" refType="h" fact="0.0638"/>
          <dgm:constr type="w" for="ch" forName="wedge5" refType="w" fact="0.84"/>
          <dgm:constr type="h" for="ch" forName="wedge5" refType="h" fact="0.84"/>
          <dgm:constr type="l" for="ch" forName="dummy5a" refType="w" fact="0.0888"/>
          <dgm:constr type="t" for="ch" forName="dummy5a" refType="h" fact="0.354"/>
          <dgm:constr type="l" for="ch" forName="dummy5b" refType="w" fact="0.4882"/>
          <dgm:constr type="t" for="ch" forName="dummy5b" refType="h" fact="0.0638"/>
          <dgm:constr type="r" for="ch" forName="wedge5Tx" refType="w" fact="0.47"/>
          <dgm:constr type="t" for="ch" forName="wedge5Tx" refType="h" fact="0.205"/>
          <dgm:constr type="w" for="ch" forName="wedge5Tx" refType="w" fact="0.27"/>
          <dgm:constr type="h" for="ch" forName="wedge5Tx" refType="h" fact="0.18"/>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h" for="ch" forName="arrowWedge3" refType="w" fact="0.08"/>
          <dgm:constr type="diam" for="ch" forName="arrowWedge3" refType="w" fact="0.84"/>
          <dgm:constr type="l" for="ch" forName="arrowWedge3" refType="w" fact="0.5"/>
          <dgm:constr type="t" for="ch" forName="arrowWedge3" refType="w" fact="0.5"/>
          <dgm:constr type="h" for="ch" forName="arrowWedge4" refType="w" fact="0.08"/>
          <dgm:constr type="diam" for="ch" forName="arrowWedge4" refType="w" fact="0.84"/>
          <dgm:constr type="l" for="ch" forName="arrowWedge4" refType="w" fact="0.5"/>
          <dgm:constr type="t" for="ch" forName="arrowWedge4" refType="w" fact="0.5"/>
          <dgm:constr type="h" for="ch" forName="arrowWedge5" refType="w" fact="0.08"/>
          <dgm:constr type="diam" for="ch" forName="arrowWedge5" refType="w" fact="0.84"/>
          <dgm:constr type="l" for="ch" forName="arrowWedge5" refType="w" fact="0.5"/>
          <dgm:constr type="t" for="ch" forName="arrowWedge5" refType="w" fact="0.5"/>
          <dgm:constr type="primFontSz" for="ch" ptType="node" op="equ"/>
        </dgm:constrLst>
      </dgm:if>
      <dgm:if name="Name6" axis="ch" ptType="node" func="cnt" op="equ" val="6">
        <dgm:constrLst>
          <dgm:constr type="l" for="ch" forName="wedge1" refType="w" fact="0.09"/>
          <dgm:constr type="t" for="ch" forName="wedge1" refType="w" fact="0.0627"/>
          <dgm:constr type="w" for="ch" forName="wedge1" refType="w" fact="0.84"/>
          <dgm:constr type="h" for="ch" forName="wedge1" refType="h" fact="0.84"/>
          <dgm:constr type="l" for="ch" forName="dummy1a" refType="w" fact="0.51"/>
          <dgm:constr type="t" for="ch" forName="dummy1a" refType="h" fact="0.0627"/>
          <dgm:constr type="l" for="ch" forName="dummy1b" refType="w" fact="0.8737"/>
          <dgm:constr type="t" for="ch" forName="dummy1b" refType="h" fact="0.2727"/>
          <dgm:constr type="l" for="ch" forName="wedge1Tx" refType="w" fact="0.53"/>
          <dgm:constr type="t" for="ch" forName="wedge1Tx" refType="h" fact="0.17"/>
          <dgm:constr type="w" for="ch" forName="wedge1Tx" refType="w" fact="0.22"/>
          <dgm:constr type="h" for="ch" forName="wedge1Tx" refType="h" fact="0.17"/>
          <dgm:constr type="l" for="ch" forName="wedge2" refType="w" fact="0.1"/>
          <dgm:constr type="t" for="ch" forName="wedge2" refType="w" fact="0.08"/>
          <dgm:constr type="w" for="ch" forName="wedge2" refType="w" fact="0.84"/>
          <dgm:constr type="h" for="ch" forName="wedge2" refType="h" fact="0.84"/>
          <dgm:constr type="l" for="ch" forName="dummy2a" refType="w" fact="0.8837"/>
          <dgm:constr type="t" for="ch" forName="dummy2a" refType="h" fact="0.29"/>
          <dgm:constr type="l" for="ch" forName="dummy2b" refType="w" fact="0.8837"/>
          <dgm:constr type="t" for="ch" forName="dummy2b" refType="h" fact="0.71"/>
          <dgm:constr type="l" for="ch" forName="wedge2Tx" refType="w" fact="0.67"/>
          <dgm:constr type="t" for="ch" forName="wedge2Tx" refType="h" fact="0.42"/>
          <dgm:constr type="w" for="ch" forName="wedge2Tx" refType="w" fact="0.23"/>
          <dgm:constr type="h" for="ch" forName="wedge2Tx" refType="h" fact="0.165"/>
          <dgm:constr type="l" for="ch" forName="wedge3" refType="w" fact="0.09"/>
          <dgm:constr type="t" for="ch" forName="wedge3" refType="w" fact="0.0973"/>
          <dgm:constr type="w" for="ch" forName="wedge3" refType="w" fact="0.84"/>
          <dgm:constr type="h" for="ch" forName="wedge3" refType="h" fact="0.84"/>
          <dgm:constr type="l" for="ch" forName="dummy3a" refType="w" fact="0.8737"/>
          <dgm:constr type="t" for="ch" forName="dummy3a" refType="h" fact="0.7273"/>
          <dgm:constr type="l" for="ch" forName="dummy3b" refType="w" fact="0.51"/>
          <dgm:constr type="t" for="ch" forName="dummy3b" refType="h" fact="0.9373"/>
          <dgm:constr type="l" for="ch" forName="wedge3Tx" refType="w" fact="0.53"/>
          <dgm:constr type="t" for="ch" forName="wedge3Tx" refType="h" fact="0.665"/>
          <dgm:constr type="w" for="ch" forName="wedge3Tx" refType="w" fact="0.22"/>
          <dgm:constr type="h" for="ch" forName="wedge3Tx" refType="h" fact="0.17"/>
          <dgm:constr type="l" for="ch" forName="wedge4" refType="w" fact="0.07"/>
          <dgm:constr type="t" for="ch" forName="wedge4" refType="h" fact="0.0973"/>
          <dgm:constr type="w" for="ch" forName="wedge4" refType="w" fact="0.84"/>
          <dgm:constr type="h" for="ch" forName="wedge4" refType="h" fact="0.84"/>
          <dgm:constr type="l" for="ch" forName="dummy4a" refType="w" fact="0.49"/>
          <dgm:constr type="t" for="ch" forName="dummy4a" refType="h" fact="0.9373"/>
          <dgm:constr type="l" for="ch" forName="dummy4b" refType="w" fact="0.1263"/>
          <dgm:constr type="t" for="ch" forName="dummy4b" refType="h" fact="0.7273"/>
          <dgm:constr type="r" for="ch" forName="wedge4Tx" refType="w" fact="0.47"/>
          <dgm:constr type="t" for="ch" forName="wedge4Tx" refType="h" fact="0.665"/>
          <dgm:constr type="w" for="ch" forName="wedge4Tx" refType="w" fact="0.22"/>
          <dgm:constr type="h" for="ch" forName="wedge4Tx" refType="h" fact="0.17"/>
          <dgm:constr type="l" for="ch" forName="wedge5" refType="w" fact="0.06"/>
          <dgm:constr type="t" for="ch" forName="wedge5" refType="h" fact="0.08"/>
          <dgm:constr type="w" for="ch" forName="wedge5" refType="w" fact="0.84"/>
          <dgm:constr type="h" for="ch" forName="wedge5" refType="h" fact="0.84"/>
          <dgm:constr type="l" for="ch" forName="dummy5a" refType="w" fact="0.1163"/>
          <dgm:constr type="t" for="ch" forName="dummy5a" refType="h" fact="0.71"/>
          <dgm:constr type="l" for="ch" forName="dummy5b" refType="w" fact="0.1163"/>
          <dgm:constr type="t" for="ch" forName="dummy5b" refType="h" fact="0.29"/>
          <dgm:constr type="r" for="ch" forName="wedge5Tx" refType="w" fact="0.33"/>
          <dgm:constr type="t" for="ch" forName="wedge5Tx" refType="h" fact="0.42"/>
          <dgm:constr type="w" for="ch" forName="wedge5Tx" refType="w" fact="0.23"/>
          <dgm:constr type="h" for="ch" forName="wedge5Tx" refType="h" fact="0.165"/>
          <dgm:constr type="l" for="ch" forName="wedge6" refType="w" fact="0.07"/>
          <dgm:constr type="t" for="ch" forName="wedge6" refType="h" fact="0.0627"/>
          <dgm:constr type="w" for="ch" forName="wedge6" refType="w" fact="0.84"/>
          <dgm:constr type="h" for="ch" forName="wedge6" refType="h" fact="0.84"/>
          <dgm:constr type="l" for="ch" forName="dummy6a" refType="w" fact="0.1263"/>
          <dgm:constr type="t" for="ch" forName="dummy6a" refType="h" fact="0.2727"/>
          <dgm:constr type="l" for="ch" forName="dummy6b" refType="w" fact="0.49"/>
          <dgm:constr type="t" for="ch" forName="dummy6b" refType="h" fact="0.0627"/>
          <dgm:constr type="r" for="ch" forName="wedge6Tx" refType="w" fact="0.47"/>
          <dgm:constr type="t" for="ch" forName="wedge6Tx" refType="h" fact="0.17"/>
          <dgm:constr type="w" for="ch" forName="wedge6Tx" refType="w" fact="0.22"/>
          <dgm:constr type="h" for="ch" forName="wedge6Tx" refType="h" fact="0.17"/>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h" for="ch" forName="arrowWedge3" refType="w" fact="0.08"/>
          <dgm:constr type="diam" for="ch" forName="arrowWedge3" refType="w" fact="0.84"/>
          <dgm:constr type="l" for="ch" forName="arrowWedge3" refType="w" fact="0.5"/>
          <dgm:constr type="t" for="ch" forName="arrowWedge3" refType="w" fact="0.5"/>
          <dgm:constr type="h" for="ch" forName="arrowWedge4" refType="w" fact="0.08"/>
          <dgm:constr type="diam" for="ch" forName="arrowWedge4" refType="w" fact="0.84"/>
          <dgm:constr type="l" for="ch" forName="arrowWedge4" refType="w" fact="0.5"/>
          <dgm:constr type="t" for="ch" forName="arrowWedge4" refType="w" fact="0.5"/>
          <dgm:constr type="h" for="ch" forName="arrowWedge5" refType="w" fact="0.08"/>
          <dgm:constr type="diam" for="ch" forName="arrowWedge5" refType="w" fact="0.84"/>
          <dgm:constr type="l" for="ch" forName="arrowWedge5" refType="w" fact="0.5"/>
          <dgm:constr type="t" for="ch" forName="arrowWedge5" refType="w" fact="0.5"/>
          <dgm:constr type="h" for="ch" forName="arrowWedge6" refType="w" fact="0.08"/>
          <dgm:constr type="diam" for="ch" forName="arrowWedge6" refType="w" fact="0.84"/>
          <dgm:constr type="l" for="ch" forName="arrowWedge6" refType="w" fact="0.5"/>
          <dgm:constr type="t" for="ch" forName="arrowWedge6" refType="w" fact="0.5"/>
          <dgm:constr type="primFontSz" for="ch" ptType="node" op="equ"/>
        </dgm:constrLst>
      </dgm:if>
      <dgm:else name="Name7">
        <dgm:constrLst>
          <dgm:constr type="l" for="ch" forName="wedge1" refType="w" fact="0.0887"/>
          <dgm:constr type="t" for="ch" forName="wedge1" refType="w" fact="0.062"/>
          <dgm:constr type="w" for="ch" forName="wedge1" refType="w" fact="0.84"/>
          <dgm:constr type="h" for="ch" forName="wedge1" refType="h" fact="0.84"/>
          <dgm:constr type="l" for="ch" forName="dummy1a" refType="w" fact="0.5087"/>
          <dgm:constr type="t" for="ch" forName="dummy1a" refType="h" fact="0.062"/>
          <dgm:constr type="l" for="ch" forName="dummy1b" refType="w" fact="0.837"/>
          <dgm:constr type="t" for="ch" forName="dummy1b" refType="h" fact="0.2201"/>
          <dgm:constr type="l" for="ch" forName="wedge1Tx" refType="w" fact="0.53"/>
          <dgm:constr type="t" for="ch" forName="wedge1Tx" refType="h" fact="0.14"/>
          <dgm:constr type="w" for="ch" forName="wedge1Tx" refType="w" fact="0.2"/>
          <dgm:constr type="h" for="ch" forName="wedge1Tx" refType="h" fact="0.16"/>
          <dgm:constr type="l" for="ch" forName="wedge2" refType="w" fact="0.0995"/>
          <dgm:constr type="t" for="ch" forName="wedge2" refType="w" fact="0.0755"/>
          <dgm:constr type="w" for="ch" forName="wedge2" refType="w" fact="0.84"/>
          <dgm:constr type="h" for="ch" forName="wedge2" refType="h" fact="0.84"/>
          <dgm:constr type="l" for="ch" forName="dummy2a" refType="w" fact="0.8479"/>
          <dgm:constr type="t" for="ch" forName="dummy2a" refType="h" fact="0.2337"/>
          <dgm:constr type="l" for="ch" forName="dummy2b" refType="w" fact="0.929"/>
          <dgm:constr type="t" for="ch" forName="dummy2b" refType="h" fact="0.589"/>
          <dgm:constr type="l" for="ch" forName="wedge2Tx" refType="w" fact="0.67"/>
          <dgm:constr type="t" for="ch" forName="wedge2Tx" refType="h" fact="0.38"/>
          <dgm:constr type="w" for="ch" forName="wedge2Tx" refType="w" fact="0.23"/>
          <dgm:constr type="h" for="ch" forName="wedge2Tx" refType="h" fact="0.14"/>
          <dgm:constr type="l" for="ch" forName="wedge3" refType="w" fact="0.0956"/>
          <dgm:constr type="t" for="ch" forName="wedge3" refType="w" fact="0.0925"/>
          <dgm:constr type="w" for="ch" forName="wedge3" refType="w" fact="0.84"/>
          <dgm:constr type="h" for="ch" forName="wedge3" refType="h" fact="0.84"/>
          <dgm:constr type="l" for="ch" forName="dummy3a" refType="w" fact="0.9251"/>
          <dgm:constr type="t" for="ch" forName="dummy3a" refType="h" fact="0.6059"/>
          <dgm:constr type="l" for="ch" forName="dummy3b" refType="w" fact="0.6979"/>
          <dgm:constr type="t" for="ch" forName="dummy3b" refType="h" fact="0.8909"/>
          <dgm:constr type="l" for="ch" forName="wedge3Tx" refType="w" fact="0.635"/>
          <dgm:constr type="t" for="ch" forName="wedge3Tx" refType="h" fact="0.59"/>
          <dgm:constr type="w" for="ch" forName="wedge3Tx" refType="w" fact="0.2"/>
          <dgm:constr type="h" for="ch" forName="wedge3Tx" refType="h" fact="0.155"/>
          <dgm:constr type="l" for="ch" forName="wedge4" refType="w" fact="0.08"/>
          <dgm:constr type="t" for="ch" forName="wedge4" refType="h" fact="0.1"/>
          <dgm:constr type="w" for="ch" forName="wedge4" refType="w" fact="0.84"/>
          <dgm:constr type="h" for="ch" forName="wedge4" refType="h" fact="0.84"/>
          <dgm:constr type="l" for="ch" forName="dummy4a" refType="w" fact="0.6822"/>
          <dgm:constr type="t" for="ch" forName="dummy4a" refType="h" fact="0.8984"/>
          <dgm:constr type="l" for="ch" forName="dummy4b" refType="w" fact="0.3178"/>
          <dgm:constr type="t" for="ch" forName="dummy4b" refType="h" fact="0.8984"/>
          <dgm:constr type="l" for="ch" forName="wedge4Tx" refType="w" fact="0.4025"/>
          <dgm:constr type="t" for="ch" forName="wedge4Tx" refType="h" fact="0.76"/>
          <dgm:constr type="w" for="ch" forName="wedge4Tx" refType="w" fact="0.195"/>
          <dgm:constr type="h" for="ch" forName="wedge4Tx" refType="h" fact="0.14"/>
          <dgm:constr type="l" for="ch" forName="wedge5" refType="w" fact="0.0644"/>
          <dgm:constr type="t" for="ch" forName="wedge5" refType="h" fact="0.0925"/>
          <dgm:constr type="w" for="ch" forName="wedge5" refType="w" fact="0.84"/>
          <dgm:constr type="h" for="ch" forName="wedge5" refType="h" fact="0.84"/>
          <dgm:constr type="l" for="ch" forName="dummy5a" refType="w" fact="0.3021"/>
          <dgm:constr type="t" for="ch" forName="dummy5a" refType="h" fact="0.8909"/>
          <dgm:constr type="l" for="ch" forName="dummy5b" refType="w" fact="0.0749"/>
          <dgm:constr type="t" for="ch" forName="dummy5b" refType="h" fact="0.6059"/>
          <dgm:constr type="r" for="ch" forName="wedge5Tx" refType="w" fact="0.365"/>
          <dgm:constr type="t" for="ch" forName="wedge5Tx" refType="h" fact="0.59"/>
          <dgm:constr type="w" for="ch" forName="wedge5Tx" refType="w" fact="0.2"/>
          <dgm:constr type="h" for="ch" forName="wedge5Tx" refType="h" fact="0.155"/>
          <dgm:constr type="l" for="ch" forName="wedge6" refType="w" fact="0.0605"/>
          <dgm:constr type="t" for="ch" forName="wedge6" refType="h" fact="0.0755"/>
          <dgm:constr type="w" for="ch" forName="wedge6" refType="w" fact="0.84"/>
          <dgm:constr type="h" for="ch" forName="wedge6" refType="h" fact="0.84"/>
          <dgm:constr type="l" for="ch" forName="dummy6a" refType="w" fact="0.071"/>
          <dgm:constr type="t" for="ch" forName="dummy6a" refType="h" fact="0.589"/>
          <dgm:constr type="l" for="ch" forName="dummy6b" refType="w" fact="0.1521"/>
          <dgm:constr type="t" for="ch" forName="dummy6b" refType="h" fact="0.2337"/>
          <dgm:constr type="r" for="ch" forName="wedge6Tx" refType="w" fact="0.33"/>
          <dgm:constr type="t" for="ch" forName="wedge6Tx" refType="h" fact="0.38"/>
          <dgm:constr type="w" for="ch" forName="wedge6Tx" refType="w" fact="0.23"/>
          <dgm:constr type="h" for="ch" forName="wedge6Tx" refType="h" fact="0.14"/>
          <dgm:constr type="l" for="ch" forName="wedge7" refType="w" fact="0.0713"/>
          <dgm:constr type="t" for="ch" forName="wedge7" refType="h" fact="0.062"/>
          <dgm:constr type="w" for="ch" forName="wedge7" refType="w" fact="0.84"/>
          <dgm:constr type="h" for="ch" forName="wedge7" refType="h" fact="0.84"/>
          <dgm:constr type="l" for="ch" forName="dummy7a" refType="w" fact="0.163"/>
          <dgm:constr type="t" for="ch" forName="dummy7a" refType="h" fact="0.2201"/>
          <dgm:constr type="l" for="ch" forName="dummy7b" refType="w" fact="0.4913"/>
          <dgm:constr type="t" for="ch" forName="dummy7b" refType="h" fact="0.062"/>
          <dgm:constr type="r" for="ch" forName="wedge7Tx" refType="w" fact="0.47"/>
          <dgm:constr type="t" for="ch" forName="wedge7Tx" refType="h" fact="0.14"/>
          <dgm:constr type="w" for="ch" forName="wedge7Tx" refType="w" fact="0.2"/>
          <dgm:constr type="h" for="ch" forName="wedge7Tx" refType="h" fact="0.16"/>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h" for="ch" forName="arrowWedge3" refType="w" fact="0.08"/>
          <dgm:constr type="diam" for="ch" forName="arrowWedge3" refType="w" fact="0.84"/>
          <dgm:constr type="l" for="ch" forName="arrowWedge3" refType="w" fact="0.5"/>
          <dgm:constr type="t" for="ch" forName="arrowWedge3" refType="w" fact="0.5"/>
          <dgm:constr type="h" for="ch" forName="arrowWedge4" refType="w" fact="0.08"/>
          <dgm:constr type="diam" for="ch" forName="arrowWedge4" refType="w" fact="0.84"/>
          <dgm:constr type="l" for="ch" forName="arrowWedge4" refType="w" fact="0.5"/>
          <dgm:constr type="t" for="ch" forName="arrowWedge4" refType="w" fact="0.5"/>
          <dgm:constr type="h" for="ch" forName="arrowWedge5" refType="w" fact="0.08"/>
          <dgm:constr type="diam" for="ch" forName="arrowWedge5" refType="w" fact="0.84"/>
          <dgm:constr type="l" for="ch" forName="arrowWedge5" refType="w" fact="0.5"/>
          <dgm:constr type="t" for="ch" forName="arrowWedge5" refType="w" fact="0.5"/>
          <dgm:constr type="h" for="ch" forName="arrowWedge6" refType="w" fact="0.08"/>
          <dgm:constr type="diam" for="ch" forName="arrowWedge6" refType="w" fact="0.84"/>
          <dgm:constr type="l" for="ch" forName="arrowWedge6" refType="w" fact="0.5"/>
          <dgm:constr type="t" for="ch" forName="arrowWedge6" refType="w" fact="0.5"/>
          <dgm:constr type="h" for="ch" forName="arrowWedge7" refType="w" fact="0.08"/>
          <dgm:constr type="diam" for="ch" forName="arrowWedge7" refType="w" fact="0.84"/>
          <dgm:constr type="l" for="ch" forName="arrowWedge7" refType="w" fact="0.5"/>
          <dgm:constr type="t" for="ch" forName="arrowWedge7" refType="w" fact="0.5"/>
          <dgm:constr type="primFontSz" for="ch" ptType="node" op="equ"/>
        </dgm:constrLst>
      </dgm:else>
    </dgm:choose>
    <dgm:ruleLst/>
    <dgm:choose name="Name8">
      <dgm:if name="Name9" axis="ch" ptType="node" func="cnt" op="gte" val="1">
        <dgm:layoutNode name="wedge1">
          <dgm:alg type="sp"/>
          <dgm:choose name="Name10">
            <dgm:if name="Name11" axis="ch" ptType="node" func="cnt" op="equ" val="1">
              <dgm:shape xmlns:r="http://schemas.openxmlformats.org/officeDocument/2006/relationships" type="ellipse" r:blip="">
                <dgm:adjLst/>
              </dgm:shape>
            </dgm:if>
            <dgm:if name="Name12" axis="ch" ptType="node" func="cnt" op="equ" val="2">
              <dgm:shape xmlns:r="http://schemas.openxmlformats.org/officeDocument/2006/relationships" type="pie" r:blip="">
                <dgm:adjLst>
                  <dgm:adj idx="1" val="270"/>
                  <dgm:adj idx="2" val="90"/>
                </dgm:adjLst>
              </dgm:shape>
            </dgm:if>
            <dgm:if name="Name13" axis="ch" ptType="node" func="cnt" op="equ" val="3">
              <dgm:shape xmlns:r="http://schemas.openxmlformats.org/officeDocument/2006/relationships" type="pie" r:blip="">
                <dgm:adjLst>
                  <dgm:adj idx="1" val="270"/>
                  <dgm:adj idx="2" val="30"/>
                </dgm:adjLst>
              </dgm:shape>
            </dgm:if>
            <dgm:if name="Name14" axis="ch" ptType="node" func="cnt" op="equ" val="4">
              <dgm:shape xmlns:r="http://schemas.openxmlformats.org/officeDocument/2006/relationships" type="pie" r:blip="">
                <dgm:adjLst>
                  <dgm:adj idx="1" val="270"/>
                  <dgm:adj idx="2" val="0"/>
                </dgm:adjLst>
              </dgm:shape>
            </dgm:if>
            <dgm:if name="Name15" axis="ch" ptType="node" func="cnt" op="equ" val="5">
              <dgm:shape xmlns:r="http://schemas.openxmlformats.org/officeDocument/2006/relationships" type="pie" r:blip="">
                <dgm:adjLst>
                  <dgm:adj idx="1" val="270"/>
                  <dgm:adj idx="2" val="342"/>
                </dgm:adjLst>
              </dgm:shape>
            </dgm:if>
            <dgm:if name="Name16" axis="ch" ptType="node" func="cnt" op="equ" val="6">
              <dgm:shape xmlns:r="http://schemas.openxmlformats.org/officeDocument/2006/relationships" type="pie" r:blip="">
                <dgm:adjLst>
                  <dgm:adj idx="1" val="270"/>
                  <dgm:adj idx="2" val="330"/>
                </dgm:adjLst>
              </dgm:shape>
            </dgm:if>
            <dgm:else name="Name17">
              <dgm:shape xmlns:r="http://schemas.openxmlformats.org/officeDocument/2006/relationships" type="pie" r:blip="">
                <dgm:adjLst>
                  <dgm:adj idx="1" val="270"/>
                  <dgm:adj idx="2" val="321.4286"/>
                </dgm:adjLst>
              </dgm:shape>
            </dgm:else>
          </dgm:choose>
          <dgm:choose name="Name18">
            <dgm:if name="Name19" func="var" arg="dir" op="equ" val="norm">
              <dgm:presOf axis="ch desOrSelf" ptType="node node" st="1 1" cnt="1 0"/>
            </dgm:if>
            <dgm:else name="Name20">
              <dgm:choose name="Name21">
                <dgm:if name="Name22" axis="ch" ptType="node" func="cnt" op="equ" val="1">
                  <dgm:presOf axis="ch desOrSelf" ptType="node node" st="1 1" cnt="1 0"/>
                </dgm:if>
                <dgm:if name="Name23" axis="ch" ptType="node" func="cnt" op="equ" val="2">
                  <dgm:presOf axis="ch desOrSelf" ptType="node node" st="2 1" cnt="1 0"/>
                </dgm:if>
                <dgm:if name="Name24" axis="ch" ptType="node" func="cnt" op="equ" val="3">
                  <dgm:presOf axis="ch desOrSelf" ptType="node node" st="3 1" cnt="1 0"/>
                </dgm:if>
                <dgm:if name="Name25" axis="ch" ptType="node" func="cnt" op="equ" val="4">
                  <dgm:presOf axis="ch desOrSelf" ptType="node node" st="4 1" cnt="1 0"/>
                </dgm:if>
                <dgm:if name="Name26" axis="ch" ptType="node" func="cnt" op="equ" val="5">
                  <dgm:presOf axis="ch desOrSelf" ptType="node node" st="5 1" cnt="1 0"/>
                </dgm:if>
                <dgm:if name="Name27" axis="ch" ptType="node" func="cnt" op="equ" val="6">
                  <dgm:presOf axis="ch desOrSelf" ptType="node node" st="6 1" cnt="1 0"/>
                </dgm:if>
                <dgm:else name="Name28">
                  <dgm:presOf axis="ch desOrSelf" ptType="node node" st="7 1" cnt="1 0"/>
                </dgm:else>
              </dgm:choose>
            </dgm:else>
          </dgm:choose>
          <dgm:constrLst/>
          <dgm:ruleLst/>
        </dgm:layoutNode>
        <dgm:layoutNode name="dummy1a" moveWith="wedge1">
          <dgm:alg type="sp"/>
          <dgm:shape xmlns:r="http://schemas.openxmlformats.org/officeDocument/2006/relationships" r:blip="">
            <dgm:adjLst/>
          </dgm:shape>
          <dgm:presOf/>
          <dgm:constrLst>
            <dgm:constr type="w" val="1"/>
            <dgm:constr type="h" val="1"/>
          </dgm:constrLst>
          <dgm:ruleLst/>
        </dgm:layoutNode>
        <dgm:layoutNode name="dummy1b" moveWith="wedge1">
          <dgm:alg type="sp"/>
          <dgm:shape xmlns:r="http://schemas.openxmlformats.org/officeDocument/2006/relationships" r:blip="">
            <dgm:adjLst/>
          </dgm:shape>
          <dgm:presOf/>
          <dgm:constrLst>
            <dgm:constr type="w" val="1"/>
            <dgm:constr type="h" val="1"/>
          </dgm:constrLst>
          <dgm:ruleLst/>
        </dgm:layoutNode>
        <dgm:layoutNode name="wedge1Tx" moveWith="wedge1">
          <dgm:varLst>
            <dgm:chMax val="0"/>
            <dgm:chPref val="0"/>
            <dgm:bulletEnabled val="1"/>
          </dgm:varLst>
          <dgm:alg type="tx"/>
          <dgm:shape xmlns:r="http://schemas.openxmlformats.org/officeDocument/2006/relationships" type="rect" r:blip="" hideGeom="1">
            <dgm:adjLst/>
          </dgm:shape>
          <dgm:choose name="Name29">
            <dgm:if name="Name30" func="var" arg="dir" op="equ" val="norm">
              <dgm:presOf axis="ch desOrSelf" ptType="node node" st="1 1" cnt="1 0"/>
            </dgm:if>
            <dgm:else name="Name31">
              <dgm:choose name="Name32">
                <dgm:if name="Name33" axis="ch" ptType="node" func="cnt" op="equ" val="1">
                  <dgm:presOf axis="ch desOrSelf" ptType="node node" st="1 1" cnt="1 0"/>
                </dgm:if>
                <dgm:if name="Name34" axis="ch" ptType="node" func="cnt" op="equ" val="2">
                  <dgm:presOf axis="ch desOrSelf" ptType="node node" st="2 1" cnt="1 0"/>
                </dgm:if>
                <dgm:if name="Name35" axis="ch" ptType="node" func="cnt" op="equ" val="3">
                  <dgm:presOf axis="ch desOrSelf" ptType="node node" st="3 1" cnt="1 0"/>
                </dgm:if>
                <dgm:if name="Name36" axis="ch" ptType="node" func="cnt" op="equ" val="4">
                  <dgm:presOf axis="ch desOrSelf" ptType="node node" st="4 1" cnt="1 0"/>
                </dgm:if>
                <dgm:if name="Name37" axis="ch" ptType="node" func="cnt" op="equ" val="5">
                  <dgm:presOf axis="ch desOrSelf" ptType="node node" st="5 1" cnt="1 0"/>
                </dgm:if>
                <dgm:if name="Name38" axis="ch" ptType="node" func="cnt" op="equ" val="6">
                  <dgm:presOf axis="ch desOrSelf" ptType="node node" st="6 1" cnt="1 0"/>
                </dgm:if>
                <dgm:else name="Name39">
                  <dgm:presOf axis="ch desOrSelf" ptType="node node" st="7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40"/>
    </dgm:choose>
    <dgm:choose name="Name41">
      <dgm:if name="Name42" axis="ch" ptType="node" func="cnt" op="gte" val="2">
        <dgm:layoutNode name="wedge2">
          <dgm:alg type="sp"/>
          <dgm:choose name="Name43">
            <dgm:if name="Name44" axis="ch" ptType="node" func="cnt" op="equ" val="2">
              <dgm:shape xmlns:r="http://schemas.openxmlformats.org/officeDocument/2006/relationships" type="pie" r:blip="">
                <dgm:adjLst>
                  <dgm:adj idx="1" val="90"/>
                  <dgm:adj idx="2" val="270"/>
                </dgm:adjLst>
              </dgm:shape>
            </dgm:if>
            <dgm:if name="Name45" axis="ch" ptType="node" func="cnt" op="equ" val="3">
              <dgm:shape xmlns:r="http://schemas.openxmlformats.org/officeDocument/2006/relationships" type="pie" r:blip="">
                <dgm:adjLst>
                  <dgm:adj idx="1" val="30"/>
                  <dgm:adj idx="2" val="150"/>
                </dgm:adjLst>
              </dgm:shape>
            </dgm:if>
            <dgm:if name="Name46" axis="ch" ptType="node" func="cnt" op="equ" val="4">
              <dgm:shape xmlns:r="http://schemas.openxmlformats.org/officeDocument/2006/relationships" type="pie" r:blip="">
                <dgm:adjLst>
                  <dgm:adj idx="1" val="0"/>
                  <dgm:adj idx="2" val="90"/>
                </dgm:adjLst>
              </dgm:shape>
            </dgm:if>
            <dgm:if name="Name47" axis="ch" ptType="node" func="cnt" op="equ" val="5">
              <dgm:shape xmlns:r="http://schemas.openxmlformats.org/officeDocument/2006/relationships" type="pie" r:blip="">
                <dgm:adjLst>
                  <dgm:adj idx="1" val="342"/>
                  <dgm:adj idx="2" val="54"/>
                </dgm:adjLst>
              </dgm:shape>
            </dgm:if>
            <dgm:if name="Name48" axis="ch" ptType="node" func="cnt" op="equ" val="6">
              <dgm:shape xmlns:r="http://schemas.openxmlformats.org/officeDocument/2006/relationships" type="pie" r:blip="">
                <dgm:adjLst>
                  <dgm:adj idx="1" val="330"/>
                  <dgm:adj idx="2" val="30"/>
                </dgm:adjLst>
              </dgm:shape>
            </dgm:if>
            <dgm:else name="Name49">
              <dgm:shape xmlns:r="http://schemas.openxmlformats.org/officeDocument/2006/relationships" type="pie" r:blip="">
                <dgm:adjLst>
                  <dgm:adj idx="1" val="321.4286"/>
                  <dgm:adj idx="2" val="12.85714"/>
                </dgm:adjLst>
              </dgm:shape>
            </dgm:else>
          </dgm:choose>
          <dgm:choose name="Name50">
            <dgm:if name="Name51" func="var" arg="dir" op="equ" val="norm">
              <dgm:presOf axis="ch desOrSelf" ptType="node node" st="2 1" cnt="1 0"/>
            </dgm:if>
            <dgm:else name="Name52">
              <dgm:choose name="Name53">
                <dgm:if name="Name54" axis="ch" ptType="node" func="cnt" op="equ" val="2">
                  <dgm:presOf axis="ch desOrSelf" ptType="node node" st="1 1" cnt="1 0"/>
                </dgm:if>
                <dgm:if name="Name55" axis="ch" ptType="node" func="cnt" op="equ" val="3">
                  <dgm:presOf axis="ch desOrSelf" ptType="node node" st="2 1" cnt="1 0"/>
                </dgm:if>
                <dgm:if name="Name56" axis="ch" ptType="node" func="cnt" op="equ" val="4">
                  <dgm:presOf axis="ch desOrSelf" ptType="node node" st="3 1" cnt="1 0"/>
                </dgm:if>
                <dgm:if name="Name57" axis="ch" ptType="node" func="cnt" op="equ" val="5">
                  <dgm:presOf axis="ch desOrSelf" ptType="node node" st="4 1" cnt="1 0"/>
                </dgm:if>
                <dgm:if name="Name58" axis="ch" ptType="node" func="cnt" op="equ" val="6">
                  <dgm:presOf axis="ch desOrSelf" ptType="node node" st="5 1" cnt="1 0"/>
                </dgm:if>
                <dgm:else name="Name59">
                  <dgm:presOf axis="ch desOrSelf" ptType="node node" st="6 1" cnt="1 0"/>
                </dgm:else>
              </dgm:choose>
            </dgm:else>
          </dgm:choose>
          <dgm:constrLst/>
          <dgm:ruleLst/>
        </dgm:layoutNode>
        <dgm:layoutNode name="dummy2a" moveWith="wedge2">
          <dgm:alg type="sp"/>
          <dgm:shape xmlns:r="http://schemas.openxmlformats.org/officeDocument/2006/relationships" r:blip="">
            <dgm:adjLst/>
          </dgm:shape>
          <dgm:presOf/>
          <dgm:constrLst>
            <dgm:constr type="w" val="1"/>
            <dgm:constr type="h" val="1"/>
          </dgm:constrLst>
          <dgm:ruleLst/>
        </dgm:layoutNode>
        <dgm:layoutNode name="dummy2b" moveWith="wedge2">
          <dgm:alg type="sp"/>
          <dgm:shape xmlns:r="http://schemas.openxmlformats.org/officeDocument/2006/relationships" r:blip="">
            <dgm:adjLst/>
          </dgm:shape>
          <dgm:presOf/>
          <dgm:constrLst>
            <dgm:constr type="w" val="1"/>
            <dgm:constr type="h" val="1"/>
          </dgm:constrLst>
          <dgm:ruleLst/>
        </dgm:layoutNode>
        <dgm:layoutNode name="wedge2Tx" moveWith="wedge2">
          <dgm:varLst>
            <dgm:chMax val="0"/>
            <dgm:chPref val="0"/>
            <dgm:bulletEnabled val="1"/>
          </dgm:varLst>
          <dgm:alg type="tx"/>
          <dgm:shape xmlns:r="http://schemas.openxmlformats.org/officeDocument/2006/relationships" type="rect" r:blip="" hideGeom="1">
            <dgm:adjLst/>
          </dgm:shape>
          <dgm:choose name="Name60">
            <dgm:if name="Name61" func="var" arg="dir" op="equ" val="norm">
              <dgm:presOf axis="ch desOrSelf" ptType="node node" st="2 1" cnt="1 0"/>
            </dgm:if>
            <dgm:else name="Name62">
              <dgm:choose name="Name63">
                <dgm:if name="Name64" axis="ch" ptType="node" func="cnt" op="equ" val="2">
                  <dgm:presOf axis="ch desOrSelf" ptType="node node" st="1 1" cnt="1 0"/>
                </dgm:if>
                <dgm:if name="Name65" axis="ch" ptType="node" func="cnt" op="equ" val="3">
                  <dgm:presOf axis="ch desOrSelf" ptType="node node" st="2 1" cnt="1 0"/>
                </dgm:if>
                <dgm:if name="Name66" axis="ch" ptType="node" func="cnt" op="equ" val="4">
                  <dgm:presOf axis="ch desOrSelf" ptType="node node" st="3 1" cnt="1 0"/>
                </dgm:if>
                <dgm:if name="Name67" axis="ch" ptType="node" func="cnt" op="equ" val="5">
                  <dgm:presOf axis="ch desOrSelf" ptType="node node" st="4 1" cnt="1 0"/>
                </dgm:if>
                <dgm:if name="Name68" axis="ch" ptType="node" func="cnt" op="equ" val="6">
                  <dgm:presOf axis="ch desOrSelf" ptType="node node" st="5 1" cnt="1 0"/>
                </dgm:if>
                <dgm:else name="Name69">
                  <dgm:presOf axis="ch desOrSelf" ptType="node node" st="6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70"/>
    </dgm:choose>
    <dgm:choose name="Name71">
      <dgm:if name="Name72" axis="ch" ptType="node" func="cnt" op="gte" val="3">
        <dgm:layoutNode name="wedge3">
          <dgm:alg type="sp"/>
          <dgm:choose name="Name73">
            <dgm:if name="Name74" axis="ch" ptType="node" func="cnt" op="equ" val="3">
              <dgm:shape xmlns:r="http://schemas.openxmlformats.org/officeDocument/2006/relationships" type="pie" r:blip="">
                <dgm:adjLst>
                  <dgm:adj idx="1" val="150"/>
                  <dgm:adj idx="2" val="270"/>
                </dgm:adjLst>
              </dgm:shape>
            </dgm:if>
            <dgm:if name="Name75" axis="ch" ptType="node" func="cnt" op="equ" val="4">
              <dgm:shape xmlns:r="http://schemas.openxmlformats.org/officeDocument/2006/relationships" type="pie" r:blip="">
                <dgm:adjLst>
                  <dgm:adj idx="1" val="90"/>
                  <dgm:adj idx="2" val="180"/>
                </dgm:adjLst>
              </dgm:shape>
            </dgm:if>
            <dgm:if name="Name76" axis="ch" ptType="node" func="cnt" op="equ" val="5">
              <dgm:shape xmlns:r="http://schemas.openxmlformats.org/officeDocument/2006/relationships" type="pie" r:blip="">
                <dgm:adjLst>
                  <dgm:adj idx="1" val="54"/>
                  <dgm:adj idx="2" val="126"/>
                </dgm:adjLst>
              </dgm:shape>
            </dgm:if>
            <dgm:if name="Name77" axis="ch" ptType="node" func="cnt" op="equ" val="6">
              <dgm:shape xmlns:r="http://schemas.openxmlformats.org/officeDocument/2006/relationships" type="pie" r:blip="">
                <dgm:adjLst>
                  <dgm:adj idx="1" val="30"/>
                  <dgm:adj idx="2" val="90"/>
                </dgm:adjLst>
              </dgm:shape>
            </dgm:if>
            <dgm:else name="Name78">
              <dgm:shape xmlns:r="http://schemas.openxmlformats.org/officeDocument/2006/relationships" type="pie" r:blip="">
                <dgm:adjLst>
                  <dgm:adj idx="1" val="12.85714"/>
                  <dgm:adj idx="2" val="64.28571"/>
                </dgm:adjLst>
              </dgm:shape>
            </dgm:else>
          </dgm:choose>
          <dgm:choose name="Name79">
            <dgm:if name="Name80" func="var" arg="dir" op="equ" val="norm">
              <dgm:presOf axis="ch desOrSelf" ptType="node node" st="3 1" cnt="1 0"/>
            </dgm:if>
            <dgm:else name="Name81">
              <dgm:choose name="Name82">
                <dgm:if name="Name83" axis="ch" ptType="node" func="cnt" op="equ" val="3">
                  <dgm:presOf axis="ch desOrSelf" ptType="node node" st="1 1" cnt="1 0"/>
                </dgm:if>
                <dgm:if name="Name84" axis="ch" ptType="node" func="cnt" op="equ" val="4">
                  <dgm:presOf axis="ch desOrSelf" ptType="node node" st="2 1" cnt="1 0"/>
                </dgm:if>
                <dgm:if name="Name85" axis="ch" ptType="node" func="cnt" op="equ" val="5">
                  <dgm:presOf axis="ch desOrSelf" ptType="node node" st="3 1" cnt="1 0"/>
                </dgm:if>
                <dgm:if name="Name86" axis="ch" ptType="node" func="cnt" op="equ" val="6">
                  <dgm:presOf axis="ch desOrSelf" ptType="node node" st="4 1" cnt="1 0"/>
                </dgm:if>
                <dgm:else name="Name87">
                  <dgm:presOf axis="ch desOrSelf" ptType="node node" st="5 1" cnt="1 0"/>
                </dgm:else>
              </dgm:choose>
            </dgm:else>
          </dgm:choose>
          <dgm:constrLst/>
          <dgm:ruleLst/>
        </dgm:layoutNode>
        <dgm:layoutNode name="dummy3a" moveWith="wedge3">
          <dgm:alg type="sp"/>
          <dgm:shape xmlns:r="http://schemas.openxmlformats.org/officeDocument/2006/relationships" r:blip="">
            <dgm:adjLst/>
          </dgm:shape>
          <dgm:presOf/>
          <dgm:constrLst>
            <dgm:constr type="w" val="1"/>
            <dgm:constr type="h" val="1"/>
          </dgm:constrLst>
          <dgm:ruleLst/>
        </dgm:layoutNode>
        <dgm:layoutNode name="dummy3b" moveWith="wedge3">
          <dgm:alg type="sp"/>
          <dgm:shape xmlns:r="http://schemas.openxmlformats.org/officeDocument/2006/relationships" r:blip="">
            <dgm:adjLst/>
          </dgm:shape>
          <dgm:presOf/>
          <dgm:constrLst>
            <dgm:constr type="w" val="1"/>
            <dgm:constr type="h" val="1"/>
          </dgm:constrLst>
          <dgm:ruleLst/>
        </dgm:layoutNode>
        <dgm:layoutNode name="wedge3Tx" moveWith="wedge3">
          <dgm:varLst>
            <dgm:chMax val="0"/>
            <dgm:chPref val="0"/>
            <dgm:bulletEnabled val="1"/>
          </dgm:varLst>
          <dgm:alg type="tx"/>
          <dgm:shape xmlns:r="http://schemas.openxmlformats.org/officeDocument/2006/relationships" type="rect" r:blip="" hideGeom="1">
            <dgm:adjLst/>
          </dgm:shape>
          <dgm:choose name="Name88">
            <dgm:if name="Name89" func="var" arg="dir" op="equ" val="norm">
              <dgm:presOf axis="ch desOrSelf" ptType="node node" st="3 1" cnt="1 0"/>
            </dgm:if>
            <dgm:else name="Name90">
              <dgm:choose name="Name91">
                <dgm:if name="Name92" axis="ch" ptType="node" func="cnt" op="equ" val="3">
                  <dgm:presOf axis="ch desOrSelf" ptType="node node" st="1 1" cnt="1 0"/>
                </dgm:if>
                <dgm:if name="Name93" axis="ch" ptType="node" func="cnt" op="equ" val="4">
                  <dgm:presOf axis="ch desOrSelf" ptType="node node" st="2 1" cnt="1 0"/>
                </dgm:if>
                <dgm:if name="Name94" axis="ch" ptType="node" func="cnt" op="equ" val="5">
                  <dgm:presOf axis="ch desOrSelf" ptType="node node" st="3 1" cnt="1 0"/>
                </dgm:if>
                <dgm:if name="Name95" axis="ch" ptType="node" func="cnt" op="equ" val="6">
                  <dgm:presOf axis="ch desOrSelf" ptType="node node" st="4 1" cnt="1 0"/>
                </dgm:if>
                <dgm:else name="Name96">
                  <dgm:presOf axis="ch desOrSelf" ptType="node node" st="5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97"/>
    </dgm:choose>
    <dgm:choose name="Name98">
      <dgm:if name="Name99" axis="ch" ptType="node" func="cnt" op="gte" val="4">
        <dgm:layoutNode name="wedge4">
          <dgm:alg type="sp"/>
          <dgm:choose name="Name100">
            <dgm:if name="Name101" axis="ch" ptType="node" func="cnt" op="equ" val="4">
              <dgm:shape xmlns:r="http://schemas.openxmlformats.org/officeDocument/2006/relationships" type="pie" r:blip="">
                <dgm:adjLst>
                  <dgm:adj idx="1" val="180"/>
                  <dgm:adj idx="2" val="270"/>
                </dgm:adjLst>
              </dgm:shape>
            </dgm:if>
            <dgm:if name="Name102" axis="ch" ptType="node" func="cnt" op="equ" val="5">
              <dgm:shape xmlns:r="http://schemas.openxmlformats.org/officeDocument/2006/relationships" type="pie" r:blip="">
                <dgm:adjLst>
                  <dgm:adj idx="1" val="126"/>
                  <dgm:adj idx="2" val="198"/>
                </dgm:adjLst>
              </dgm:shape>
            </dgm:if>
            <dgm:if name="Name103" axis="ch" ptType="node" func="cnt" op="equ" val="6">
              <dgm:shape xmlns:r="http://schemas.openxmlformats.org/officeDocument/2006/relationships" type="pie" r:blip="">
                <dgm:adjLst>
                  <dgm:adj idx="1" val="90"/>
                  <dgm:adj idx="2" val="150"/>
                </dgm:adjLst>
              </dgm:shape>
            </dgm:if>
            <dgm:else name="Name104">
              <dgm:shape xmlns:r="http://schemas.openxmlformats.org/officeDocument/2006/relationships" type="pie" r:blip="">
                <dgm:adjLst>
                  <dgm:adj idx="1" val="64.2871"/>
                  <dgm:adj idx="2" val="115.7143"/>
                </dgm:adjLst>
              </dgm:shape>
            </dgm:else>
          </dgm:choose>
          <dgm:choose name="Name105">
            <dgm:if name="Name106" func="var" arg="dir" op="equ" val="norm">
              <dgm:presOf axis="ch desOrSelf" ptType="node node" st="4 1" cnt="1 0"/>
            </dgm:if>
            <dgm:else name="Name107">
              <dgm:choose name="Name108">
                <dgm:if name="Name109" axis="ch" ptType="node" func="cnt" op="equ" val="4">
                  <dgm:presOf axis="ch desOrSelf" ptType="node node" st="1 1" cnt="1 0"/>
                </dgm:if>
                <dgm:if name="Name110" axis="ch" ptType="node" func="cnt" op="equ" val="5">
                  <dgm:presOf axis="ch desOrSelf" ptType="node node" st="2 1" cnt="1 0"/>
                </dgm:if>
                <dgm:if name="Name111" axis="ch" ptType="node" func="cnt" op="equ" val="6">
                  <dgm:presOf axis="ch desOrSelf" ptType="node node" st="3 1" cnt="1 0"/>
                </dgm:if>
                <dgm:else name="Name112">
                  <dgm:presOf axis="ch desOrSelf" ptType="node node" st="4 1" cnt="1 0"/>
                </dgm:else>
              </dgm:choose>
            </dgm:else>
          </dgm:choose>
          <dgm:constrLst/>
          <dgm:ruleLst/>
        </dgm:layoutNode>
        <dgm:layoutNode name="dummy4a" moveWith="wedge4">
          <dgm:alg type="sp"/>
          <dgm:shape xmlns:r="http://schemas.openxmlformats.org/officeDocument/2006/relationships" r:blip="">
            <dgm:adjLst/>
          </dgm:shape>
          <dgm:presOf/>
          <dgm:constrLst>
            <dgm:constr type="w" val="1"/>
            <dgm:constr type="h" val="1"/>
          </dgm:constrLst>
          <dgm:ruleLst/>
        </dgm:layoutNode>
        <dgm:layoutNode name="dummy4b" moveWith="wedge4">
          <dgm:alg type="sp"/>
          <dgm:shape xmlns:r="http://schemas.openxmlformats.org/officeDocument/2006/relationships" r:blip="">
            <dgm:adjLst/>
          </dgm:shape>
          <dgm:presOf/>
          <dgm:constrLst>
            <dgm:constr type="w" val="1"/>
            <dgm:constr type="h" val="1"/>
          </dgm:constrLst>
          <dgm:ruleLst/>
        </dgm:layoutNode>
        <dgm:layoutNode name="wedge4Tx" moveWith="wedge4">
          <dgm:varLst>
            <dgm:chMax val="0"/>
            <dgm:chPref val="0"/>
            <dgm:bulletEnabled val="1"/>
          </dgm:varLst>
          <dgm:alg type="tx"/>
          <dgm:shape xmlns:r="http://schemas.openxmlformats.org/officeDocument/2006/relationships" type="rect" r:blip="" hideGeom="1">
            <dgm:adjLst/>
          </dgm:shape>
          <dgm:choose name="Name113">
            <dgm:if name="Name114" func="var" arg="dir" op="equ" val="norm">
              <dgm:presOf axis="ch desOrSelf" ptType="node node" st="4 1" cnt="1 0"/>
            </dgm:if>
            <dgm:else name="Name115">
              <dgm:choose name="Name116">
                <dgm:if name="Name117" axis="ch" ptType="node" func="cnt" op="equ" val="4">
                  <dgm:presOf axis="ch desOrSelf" ptType="node node" st="1 1" cnt="1 0"/>
                </dgm:if>
                <dgm:if name="Name118" axis="ch" ptType="node" func="cnt" op="equ" val="5">
                  <dgm:presOf axis="ch desOrSelf" ptType="node node" st="2 1" cnt="1 0"/>
                </dgm:if>
                <dgm:if name="Name119" axis="ch" ptType="node" func="cnt" op="equ" val="6">
                  <dgm:presOf axis="ch desOrSelf" ptType="node node" st="3 1" cnt="1 0"/>
                </dgm:if>
                <dgm:else name="Name120">
                  <dgm:presOf axis="ch desOrSelf" ptType="node node" st="4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121"/>
    </dgm:choose>
    <dgm:choose name="Name122">
      <dgm:if name="Name123" axis="ch" ptType="node" func="cnt" op="gte" val="5">
        <dgm:layoutNode name="wedge5">
          <dgm:alg type="sp"/>
          <dgm:choose name="Name124">
            <dgm:if name="Name125" axis="ch" ptType="node" func="cnt" op="equ" val="5">
              <dgm:shape xmlns:r="http://schemas.openxmlformats.org/officeDocument/2006/relationships" type="pie" r:blip="">
                <dgm:adjLst>
                  <dgm:adj idx="1" val="198"/>
                  <dgm:adj idx="2" val="270"/>
                </dgm:adjLst>
              </dgm:shape>
            </dgm:if>
            <dgm:if name="Name126" axis="ch" ptType="node" func="cnt" op="equ" val="6">
              <dgm:shape xmlns:r="http://schemas.openxmlformats.org/officeDocument/2006/relationships" type="pie" r:blip="">
                <dgm:adjLst>
                  <dgm:adj idx="1" val="150"/>
                  <dgm:adj idx="2" val="210"/>
                </dgm:adjLst>
              </dgm:shape>
            </dgm:if>
            <dgm:else name="Name127">
              <dgm:shape xmlns:r="http://schemas.openxmlformats.org/officeDocument/2006/relationships" type="pie" r:blip="">
                <dgm:adjLst>
                  <dgm:adj idx="1" val="115.7143"/>
                  <dgm:adj idx="2" val="167.1429"/>
                </dgm:adjLst>
              </dgm:shape>
            </dgm:else>
          </dgm:choose>
          <dgm:choose name="Name128">
            <dgm:if name="Name129" func="var" arg="dir" op="equ" val="norm">
              <dgm:presOf axis="ch desOrSelf" ptType="node node" st="5 1" cnt="1 0"/>
            </dgm:if>
            <dgm:else name="Name130">
              <dgm:choose name="Name131">
                <dgm:if name="Name132" axis="ch" ptType="node" func="cnt" op="equ" val="5">
                  <dgm:presOf axis="ch desOrSelf" ptType="node node" st="1 1" cnt="1 0"/>
                </dgm:if>
                <dgm:if name="Name133" axis="ch" ptType="node" func="cnt" op="equ" val="6">
                  <dgm:presOf axis="ch desOrSelf" ptType="node node" st="2 1" cnt="1 0"/>
                </dgm:if>
                <dgm:else name="Name134">
                  <dgm:presOf axis="ch desOrSelf" ptType="node node" st="3 1" cnt="1 0"/>
                </dgm:else>
              </dgm:choose>
            </dgm:else>
          </dgm:choose>
          <dgm:constrLst/>
          <dgm:ruleLst/>
        </dgm:layoutNode>
        <dgm:layoutNode name="dummy5a" moveWith="wedge5">
          <dgm:alg type="sp"/>
          <dgm:shape xmlns:r="http://schemas.openxmlformats.org/officeDocument/2006/relationships" r:blip="">
            <dgm:adjLst/>
          </dgm:shape>
          <dgm:presOf/>
          <dgm:constrLst>
            <dgm:constr type="w" val="1"/>
            <dgm:constr type="h" val="1"/>
          </dgm:constrLst>
          <dgm:ruleLst/>
        </dgm:layoutNode>
        <dgm:layoutNode name="dummy5b" moveWith="wedge5">
          <dgm:alg type="sp"/>
          <dgm:shape xmlns:r="http://schemas.openxmlformats.org/officeDocument/2006/relationships" r:blip="">
            <dgm:adjLst/>
          </dgm:shape>
          <dgm:presOf/>
          <dgm:constrLst>
            <dgm:constr type="w" val="1"/>
            <dgm:constr type="h" val="1"/>
          </dgm:constrLst>
          <dgm:ruleLst/>
        </dgm:layoutNode>
        <dgm:layoutNode name="wedge5Tx" moveWith="wedge5">
          <dgm:varLst>
            <dgm:chMax val="0"/>
            <dgm:chPref val="0"/>
            <dgm:bulletEnabled val="1"/>
          </dgm:varLst>
          <dgm:alg type="tx"/>
          <dgm:shape xmlns:r="http://schemas.openxmlformats.org/officeDocument/2006/relationships" type="rect" r:blip="" hideGeom="1">
            <dgm:adjLst/>
          </dgm:shape>
          <dgm:choose name="Name135">
            <dgm:if name="Name136" func="var" arg="dir" op="equ" val="norm">
              <dgm:presOf axis="ch desOrSelf" ptType="node node" st="5 1" cnt="1 0"/>
            </dgm:if>
            <dgm:else name="Name137">
              <dgm:choose name="Name138">
                <dgm:if name="Name139" axis="ch" ptType="node" func="cnt" op="equ" val="5">
                  <dgm:presOf axis="ch desOrSelf" ptType="node node" st="1 1" cnt="1 0"/>
                </dgm:if>
                <dgm:if name="Name140" axis="ch" ptType="node" func="cnt" op="equ" val="6">
                  <dgm:presOf axis="ch desOrSelf" ptType="node node" st="2 1" cnt="1 0"/>
                </dgm:if>
                <dgm:else name="Name141">
                  <dgm:presOf axis="ch desOrSelf" ptType="node node" st="3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142"/>
    </dgm:choose>
    <dgm:choose name="Name143">
      <dgm:if name="Name144" axis="ch" ptType="node" func="cnt" op="gte" val="6">
        <dgm:layoutNode name="wedge6">
          <dgm:alg type="sp"/>
          <dgm:choose name="Name145">
            <dgm:if name="Name146" axis="ch" ptType="node" func="cnt" op="equ" val="6">
              <dgm:shape xmlns:r="http://schemas.openxmlformats.org/officeDocument/2006/relationships" type="pie" r:blip="">
                <dgm:adjLst>
                  <dgm:adj idx="1" val="210"/>
                  <dgm:adj idx="2" val="270"/>
                </dgm:adjLst>
              </dgm:shape>
            </dgm:if>
            <dgm:else name="Name147">
              <dgm:shape xmlns:r="http://schemas.openxmlformats.org/officeDocument/2006/relationships" type="pie" r:blip="">
                <dgm:adjLst>
                  <dgm:adj idx="1" val="167.1429"/>
                  <dgm:adj idx="2" val="218.5714"/>
                </dgm:adjLst>
              </dgm:shape>
            </dgm:else>
          </dgm:choose>
          <dgm:choose name="Name148">
            <dgm:if name="Name149" func="var" arg="dir" op="equ" val="norm">
              <dgm:presOf axis="ch desOrSelf" ptType="node node" st="6 1" cnt="1 0"/>
            </dgm:if>
            <dgm:else name="Name150">
              <dgm:choose name="Name151">
                <dgm:if name="Name152" axis="ch" ptType="node" func="cnt" op="equ" val="6">
                  <dgm:presOf axis="ch desOrSelf" ptType="node node" st="1 1" cnt="1 0"/>
                </dgm:if>
                <dgm:else name="Name153">
                  <dgm:presOf axis="ch desOrSelf" ptType="node node" st="2 1" cnt="1 0"/>
                </dgm:else>
              </dgm:choose>
            </dgm:else>
          </dgm:choose>
          <dgm:constrLst/>
          <dgm:ruleLst/>
        </dgm:layoutNode>
        <dgm:layoutNode name="dummy6a" moveWith="wedge6">
          <dgm:alg type="sp"/>
          <dgm:shape xmlns:r="http://schemas.openxmlformats.org/officeDocument/2006/relationships" r:blip="">
            <dgm:adjLst/>
          </dgm:shape>
          <dgm:presOf/>
          <dgm:constrLst>
            <dgm:constr type="w" val="1"/>
            <dgm:constr type="h" val="1"/>
          </dgm:constrLst>
          <dgm:ruleLst/>
        </dgm:layoutNode>
        <dgm:layoutNode name="dummy6b" moveWith="wedge6">
          <dgm:alg type="sp"/>
          <dgm:shape xmlns:r="http://schemas.openxmlformats.org/officeDocument/2006/relationships" r:blip="">
            <dgm:adjLst/>
          </dgm:shape>
          <dgm:presOf/>
          <dgm:constrLst>
            <dgm:constr type="w" val="1"/>
            <dgm:constr type="h" val="1"/>
          </dgm:constrLst>
          <dgm:ruleLst/>
        </dgm:layoutNode>
        <dgm:layoutNode name="wedge6Tx" moveWith="wedge6">
          <dgm:varLst>
            <dgm:chMax val="0"/>
            <dgm:chPref val="0"/>
            <dgm:bulletEnabled val="1"/>
          </dgm:varLst>
          <dgm:alg type="tx"/>
          <dgm:shape xmlns:r="http://schemas.openxmlformats.org/officeDocument/2006/relationships" type="rect" r:blip="" hideGeom="1">
            <dgm:adjLst/>
          </dgm:shape>
          <dgm:choose name="Name154">
            <dgm:if name="Name155" func="var" arg="dir" op="equ" val="norm">
              <dgm:presOf axis="ch desOrSelf" ptType="node node" st="6 1" cnt="1 0"/>
            </dgm:if>
            <dgm:else name="Name156">
              <dgm:choose name="Name157">
                <dgm:if name="Name158" axis="ch" ptType="node" func="cnt" op="equ" val="6">
                  <dgm:presOf axis="ch desOrSelf" ptType="node node" st="1 1" cnt="1 0"/>
                </dgm:if>
                <dgm:else name="Name159">
                  <dgm:presOf axis="ch desOrSelf" ptType="node node" st="2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160"/>
    </dgm:choose>
    <dgm:choose name="Name161">
      <dgm:if name="Name162" axis="ch" ptType="node" func="cnt" op="gte" val="7">
        <dgm:layoutNode name="wedge7">
          <dgm:alg type="sp"/>
          <dgm:shape xmlns:r="http://schemas.openxmlformats.org/officeDocument/2006/relationships" type="pie" r:blip="">
            <dgm:adjLst>
              <dgm:adj idx="1" val="218.5714"/>
              <dgm:adj idx="2" val="270"/>
            </dgm:adjLst>
          </dgm:shape>
          <dgm:choose name="Name163">
            <dgm:if name="Name164" func="var" arg="dir" op="equ" val="norm">
              <dgm:presOf axis="ch desOrSelf" ptType="node node" st="7 1" cnt="1 0"/>
            </dgm:if>
            <dgm:else name="Name165">
              <dgm:presOf axis="ch desOrSelf" ptType="node node" st="1 1" cnt="1 0"/>
            </dgm:else>
          </dgm:choose>
          <dgm:constrLst/>
          <dgm:ruleLst/>
        </dgm:layoutNode>
        <dgm:layoutNode name="dummy7a" moveWith="wedge7">
          <dgm:alg type="sp"/>
          <dgm:shape xmlns:r="http://schemas.openxmlformats.org/officeDocument/2006/relationships" r:blip="">
            <dgm:adjLst/>
          </dgm:shape>
          <dgm:presOf/>
          <dgm:constrLst>
            <dgm:constr type="w" val="1"/>
            <dgm:constr type="h" val="1"/>
          </dgm:constrLst>
          <dgm:ruleLst/>
        </dgm:layoutNode>
        <dgm:layoutNode name="dummy7b" moveWith="wedge7">
          <dgm:alg type="sp"/>
          <dgm:shape xmlns:r="http://schemas.openxmlformats.org/officeDocument/2006/relationships" r:blip="">
            <dgm:adjLst/>
          </dgm:shape>
          <dgm:presOf/>
          <dgm:constrLst>
            <dgm:constr type="w" val="1"/>
            <dgm:constr type="h" val="1"/>
          </dgm:constrLst>
          <dgm:ruleLst/>
        </dgm:layoutNode>
        <dgm:layoutNode name="wedge7Tx" moveWith="wedge7">
          <dgm:varLst>
            <dgm:chMax val="0"/>
            <dgm:chPref val="0"/>
            <dgm:bulletEnabled val="1"/>
          </dgm:varLst>
          <dgm:alg type="tx"/>
          <dgm:shape xmlns:r="http://schemas.openxmlformats.org/officeDocument/2006/relationships" type="rect" r:blip="" hideGeom="1">
            <dgm:adjLst/>
          </dgm:shape>
          <dgm:choose name="Name166">
            <dgm:if name="Name167" func="var" arg="dir" op="equ" val="norm">
              <dgm:presOf axis="ch desOrSelf" ptType="node node" st="7 1" cnt="1 0"/>
            </dgm:if>
            <dgm:else name="Name168">
              <dgm:presOf axis="ch desOrSelf" ptType="node node" st="1 1" cnt="1 0"/>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169"/>
    </dgm:choose>
    <dgm:choose name="Name170">
      <dgm:if name="Name171" axis="ch" ptType="node" func="cnt" op="equ" val="1">
        <dgm:forEach name="Name172" axis="ch" ptType="sibTrans" hideLastTrans="0" cnt="1">
          <dgm:layoutNode name="arrowWedge1single" styleLbl="fgSibTrans2D1">
            <dgm:choose name="Name173">
              <dgm:if name="Name174" func="var" arg="dir" op="equ" val="norm">
                <dgm:alg type="conn">
                  <dgm:param type="connRout" val="longCurve"/>
                  <dgm:param type="srcNode" val="dummy1a"/>
                  <dgm:param type="dstNode" val="dummy1b"/>
                  <dgm:param type="begPts" val="tL"/>
                  <dgm:param type="endPts" val="tR"/>
                  <dgm:param type="begSty" val="arr"/>
                  <dgm:param type="endSty" val="noArr"/>
                </dgm:alg>
              </dgm:if>
              <dgm:else name="Name175">
                <dgm:alg type="conn">
                  <dgm:param type="connRout" val="longCurve"/>
                  <dgm:param type="srcNode" val="dummy1a"/>
                  <dgm:param type="dstNode" val="dummy1b"/>
                  <dgm:param type="begPts" val="tL"/>
                  <dgm:param type="endPts" val="tR"/>
                  <dgm:param type="begSty" val="noArr"/>
                  <dgm:param type="endSty" val="arr"/>
                </dgm:alg>
              </dgm:else>
            </dgm:choose>
            <dgm:shape xmlns:r="http://schemas.openxmlformats.org/officeDocument/2006/relationships" type="conn" r:blip="">
              <dgm:adjLst/>
            </dgm:shape>
            <dgm:presOf/>
            <dgm:constrLst>
              <dgm:constr type="w" val="1"/>
              <dgm:constr type="begPad"/>
              <dgm:constr type="endPad"/>
            </dgm:constrLst>
            <dgm:ruleLst/>
          </dgm:layoutNode>
        </dgm:forEach>
      </dgm:if>
      <dgm:if name="Name176" axis="ch" ptType="node" func="cnt" op="gte" val="2">
        <dgm:forEach name="Name177" axis="ch" ptType="sibTrans" hideLastTrans="0" cnt="1">
          <dgm:layoutNode name="arrowWedge1" styleLbl="fgSibTrans2D1">
            <dgm:choose name="Name178">
              <dgm:if name="Name179" func="var" arg="dir" op="equ" val="norm">
                <dgm:alg type="conn">
                  <dgm:param type="connRout" val="curve"/>
                  <dgm:param type="srcNode" val="dummy1a"/>
                  <dgm:param type="dstNode" val="dummy1b"/>
                  <dgm:param type="begPts" val="tL"/>
                  <dgm:param type="endPts" val="tL"/>
                  <dgm:param type="begSty" val="noArr"/>
                  <dgm:param type="endSty" val="arr"/>
                </dgm:alg>
              </dgm:if>
              <dgm:else name="Name180">
                <dgm:alg type="conn">
                  <dgm:param type="connRout" val="curve"/>
                  <dgm:param type="srcNode" val="dummy1a"/>
                  <dgm:param type="dstNode" val="dummy1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if>
      <dgm:else name="Name181"/>
    </dgm:choose>
    <dgm:forEach name="Name182" axis="ch" ptType="sibTrans" hideLastTrans="0" st="2" cnt="1">
      <dgm:layoutNode name="arrowWedge2" styleLbl="fgSibTrans2D1">
        <dgm:choose name="Name183">
          <dgm:if name="Name184" func="var" arg="dir" op="equ" val="norm">
            <dgm:alg type="conn">
              <dgm:param type="connRout" val="curve"/>
              <dgm:param type="srcNode" val="dummy2a"/>
              <dgm:param type="dstNode" val="dummy2b"/>
              <dgm:param type="begPts" val="tL"/>
              <dgm:param type="endPts" val="tL"/>
              <dgm:param type="begSty" val="noArr"/>
              <dgm:param type="endSty" val="arr"/>
            </dgm:alg>
          </dgm:if>
          <dgm:else name="Name185">
            <dgm:alg type="conn">
              <dgm:param type="connRout" val="curve"/>
              <dgm:param type="srcNode" val="dummy2a"/>
              <dgm:param type="dstNode" val="dummy2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forEach name="Name186" axis="ch" ptType="sibTrans" hideLastTrans="0" st="3" cnt="1">
      <dgm:layoutNode name="arrowWedge3" styleLbl="fgSibTrans2D1">
        <dgm:choose name="Name187">
          <dgm:if name="Name188" func="var" arg="dir" op="equ" val="norm">
            <dgm:alg type="conn">
              <dgm:param type="connRout" val="curve"/>
              <dgm:param type="srcNode" val="dummy3a"/>
              <dgm:param type="dstNode" val="dummy3b"/>
              <dgm:param type="begPts" val="tL"/>
              <dgm:param type="endPts" val="tL"/>
              <dgm:param type="begSty" val="noArr"/>
              <dgm:param type="endSty" val="arr"/>
            </dgm:alg>
          </dgm:if>
          <dgm:else name="Name189">
            <dgm:alg type="conn">
              <dgm:param type="connRout" val="curve"/>
              <dgm:param type="srcNode" val="dummy3a"/>
              <dgm:param type="dstNode" val="dummy3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forEach name="Name190" axis="ch" ptType="sibTrans" hideLastTrans="0" st="4" cnt="1">
      <dgm:layoutNode name="arrowWedge4" styleLbl="fgSibTrans2D1">
        <dgm:choose name="Name191">
          <dgm:if name="Name192" func="var" arg="dir" op="equ" val="norm">
            <dgm:alg type="conn">
              <dgm:param type="connRout" val="curve"/>
              <dgm:param type="srcNode" val="dummy4a"/>
              <dgm:param type="dstNode" val="dummy4b"/>
              <dgm:param type="begPts" val="tL"/>
              <dgm:param type="endPts" val="tL"/>
              <dgm:param type="begSty" val="noArr"/>
              <dgm:param type="endSty" val="arr"/>
            </dgm:alg>
          </dgm:if>
          <dgm:else name="Name193">
            <dgm:alg type="conn">
              <dgm:param type="connRout" val="curve"/>
              <dgm:param type="srcNode" val="dummy4a"/>
              <dgm:param type="dstNode" val="dummy4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forEach name="Name194" axis="ch" ptType="sibTrans" hideLastTrans="0" st="5" cnt="1">
      <dgm:layoutNode name="arrowWedge5" styleLbl="fgSibTrans2D1">
        <dgm:choose name="Name195">
          <dgm:if name="Name196" func="var" arg="dir" op="equ" val="norm">
            <dgm:alg type="conn">
              <dgm:param type="connRout" val="curve"/>
              <dgm:param type="srcNode" val="dummy5a"/>
              <dgm:param type="dstNode" val="dummy5b"/>
              <dgm:param type="begPts" val="tL"/>
              <dgm:param type="endPts" val="tL"/>
              <dgm:param type="begSty" val="noArr"/>
              <dgm:param type="endSty" val="arr"/>
            </dgm:alg>
          </dgm:if>
          <dgm:else name="Name197">
            <dgm:alg type="conn">
              <dgm:param type="connRout" val="curve"/>
              <dgm:param type="srcNode" val="dummy5a"/>
              <dgm:param type="dstNode" val="dummy5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forEach name="Name198" axis="ch" ptType="sibTrans" hideLastTrans="0" st="6" cnt="1">
      <dgm:layoutNode name="arrowWedge6" styleLbl="fgSibTrans2D1">
        <dgm:choose name="Name199">
          <dgm:if name="Name200" func="var" arg="dir" op="equ" val="norm">
            <dgm:alg type="conn">
              <dgm:param type="connRout" val="curve"/>
              <dgm:param type="srcNode" val="dummy6a"/>
              <dgm:param type="dstNode" val="dummy6b"/>
              <dgm:param type="begPts" val="tL"/>
              <dgm:param type="endPts" val="tL"/>
              <dgm:param type="begSty" val="noArr"/>
              <dgm:param type="endSty" val="arr"/>
            </dgm:alg>
          </dgm:if>
          <dgm:else name="Name201">
            <dgm:alg type="conn">
              <dgm:param type="connRout" val="curve"/>
              <dgm:param type="srcNode" val="dummy6a"/>
              <dgm:param type="dstNode" val="dummy6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forEach name="Name202" axis="ch" ptType="sibTrans" hideLastTrans="0" st="7" cnt="1">
      <dgm:layoutNode name="arrowWedge7" styleLbl="fgSibTrans2D1">
        <dgm:choose name="Name203">
          <dgm:if name="Name204" func="var" arg="dir" op="equ" val="norm">
            <dgm:alg type="conn">
              <dgm:param type="connRout" val="curve"/>
              <dgm:param type="srcNode" val="dummy7a"/>
              <dgm:param type="dstNode" val="dummy7b"/>
              <dgm:param type="begPts" val="tL"/>
              <dgm:param type="endPts" val="tL"/>
              <dgm:param type="begSty" val="noArr"/>
              <dgm:param type="endSty" val="arr"/>
            </dgm:alg>
          </dgm:if>
          <dgm:else name="Name205">
            <dgm:alg type="conn">
              <dgm:param type="connRout" val="curve"/>
              <dgm:param type="srcNode" val="dummy7a"/>
              <dgm:param type="dstNode" val="dummy7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6.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0</xdr:row>
      <xdr:rowOff>238126</xdr:rowOff>
    </xdr:from>
    <xdr:to>
      <xdr:col>2</xdr:col>
      <xdr:colOff>917211</xdr:colOff>
      <xdr:row>0</xdr:row>
      <xdr:rowOff>666751</xdr:rowOff>
    </xdr:to>
    <xdr:pic>
      <xdr:nvPicPr>
        <xdr:cNvPr id="4" name="Bildobjekt 3">
          <a:extLst>
            <a:ext uri="{FF2B5EF4-FFF2-40B4-BE49-F238E27FC236}">
              <a16:creationId xmlns:a16="http://schemas.microsoft.com/office/drawing/2014/main" id="{DC43E96E-0AF1-405F-3271-C8322A414C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38126"/>
          <a:ext cx="1988093" cy="428625"/>
        </a:xfrm>
        <a:prstGeom prst="rect">
          <a:avLst/>
        </a:prstGeom>
      </xdr:spPr>
    </xdr:pic>
    <xdr:clientData/>
  </xdr:twoCellAnchor>
  <xdr:twoCellAnchor editAs="oneCell">
    <xdr:from>
      <xdr:col>11</xdr:col>
      <xdr:colOff>707572</xdr:colOff>
      <xdr:row>0</xdr:row>
      <xdr:rowOff>564697</xdr:rowOff>
    </xdr:from>
    <xdr:to>
      <xdr:col>13</xdr:col>
      <xdr:colOff>435428</xdr:colOff>
      <xdr:row>3</xdr:row>
      <xdr:rowOff>193</xdr:rowOff>
    </xdr:to>
    <xdr:pic>
      <xdr:nvPicPr>
        <xdr:cNvPr id="2" name="Picture 1">
          <a:extLst>
            <a:ext uri="{FF2B5EF4-FFF2-40B4-BE49-F238E27FC236}">
              <a16:creationId xmlns:a16="http://schemas.microsoft.com/office/drawing/2014/main" id="{5A239DB0-5520-49DE-8BFA-0B2ED1CBE1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89679" y="564697"/>
          <a:ext cx="2449285" cy="8860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234769</xdr:colOff>
      <xdr:row>75</xdr:row>
      <xdr:rowOff>80461</xdr:rowOff>
    </xdr:from>
    <xdr:to>
      <xdr:col>11</xdr:col>
      <xdr:colOff>365125</xdr:colOff>
      <xdr:row>107</xdr:row>
      <xdr:rowOff>15874</xdr:rowOff>
    </xdr:to>
    <xdr:graphicFrame macro="">
      <xdr:nvGraphicFramePr>
        <xdr:cNvPr id="10" name="Diagram 9">
          <a:extLst>
            <a:ext uri="{FF2B5EF4-FFF2-40B4-BE49-F238E27FC236}">
              <a16:creationId xmlns:a16="http://schemas.microsoft.com/office/drawing/2014/main" id="{EDD7EAC1-6B40-4ED5-887E-40188C2F94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313956</xdr:colOff>
      <xdr:row>43</xdr:row>
      <xdr:rowOff>162278</xdr:rowOff>
    </xdr:from>
    <xdr:to>
      <xdr:col>10</xdr:col>
      <xdr:colOff>62400</xdr:colOff>
      <xdr:row>58</xdr:row>
      <xdr:rowOff>76778</xdr:rowOff>
    </xdr:to>
    <xdr:graphicFrame macro="">
      <xdr:nvGraphicFramePr>
        <xdr:cNvPr id="2" name="Diagram 1">
          <a:extLst>
            <a:ext uri="{FF2B5EF4-FFF2-40B4-BE49-F238E27FC236}">
              <a16:creationId xmlns:a16="http://schemas.microsoft.com/office/drawing/2014/main" id="{C7F1825D-370D-4BEF-8D9F-DF81B850A1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10577</xdr:colOff>
      <xdr:row>43</xdr:row>
      <xdr:rowOff>169333</xdr:rowOff>
    </xdr:from>
    <xdr:to>
      <xdr:col>5</xdr:col>
      <xdr:colOff>401077</xdr:colOff>
      <xdr:row>58</xdr:row>
      <xdr:rowOff>83833</xdr:rowOff>
    </xdr:to>
    <xdr:graphicFrame macro="">
      <xdr:nvGraphicFramePr>
        <xdr:cNvPr id="5" name="Diagram 4">
          <a:extLst>
            <a:ext uri="{FF2B5EF4-FFF2-40B4-BE49-F238E27FC236}">
              <a16:creationId xmlns:a16="http://schemas.microsoft.com/office/drawing/2014/main" id="{135D1DFC-A8D5-423E-8884-FB8ECE5AED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222250</xdr:colOff>
      <xdr:row>1</xdr:row>
      <xdr:rowOff>148168</xdr:rowOff>
    </xdr:from>
    <xdr:to>
      <xdr:col>3</xdr:col>
      <xdr:colOff>47625</xdr:colOff>
      <xdr:row>3</xdr:row>
      <xdr:rowOff>111860</xdr:rowOff>
    </xdr:to>
    <xdr:pic>
      <xdr:nvPicPr>
        <xdr:cNvPr id="7" name="Bildobjekt 6">
          <a:extLst>
            <a:ext uri="{FF2B5EF4-FFF2-40B4-BE49-F238E27FC236}">
              <a16:creationId xmlns:a16="http://schemas.microsoft.com/office/drawing/2014/main" id="{B11272F6-FA79-36B7-D253-29069430380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2250" y="338668"/>
          <a:ext cx="1666875" cy="344692"/>
        </a:xfrm>
        <a:prstGeom prst="rect">
          <a:avLst/>
        </a:prstGeom>
      </xdr:spPr>
    </xdr:pic>
    <xdr:clientData/>
  </xdr:twoCellAnchor>
  <xdr:twoCellAnchor editAs="oneCell">
    <xdr:from>
      <xdr:col>8</xdr:col>
      <xdr:colOff>504370</xdr:colOff>
      <xdr:row>61</xdr:row>
      <xdr:rowOff>95250</xdr:rowOff>
    </xdr:from>
    <xdr:to>
      <xdr:col>11</xdr:col>
      <xdr:colOff>325301</xdr:colOff>
      <xdr:row>65</xdr:row>
      <xdr:rowOff>156557</xdr:rowOff>
    </xdr:to>
    <xdr:pic>
      <xdr:nvPicPr>
        <xdr:cNvPr id="11" name="Bildobjekt 10">
          <a:extLst>
            <a:ext uri="{FF2B5EF4-FFF2-40B4-BE49-F238E27FC236}">
              <a16:creationId xmlns:a16="http://schemas.microsoft.com/office/drawing/2014/main" id="{5A959298-3028-4E39-81D8-706F6CA311B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330370" y="11715750"/>
          <a:ext cx="1630681" cy="823307"/>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twoCellAnchor editAs="oneCell">
    <xdr:from>
      <xdr:col>0</xdr:col>
      <xdr:colOff>222250</xdr:colOff>
      <xdr:row>62</xdr:row>
      <xdr:rowOff>17236</xdr:rowOff>
    </xdr:from>
    <xdr:to>
      <xdr:col>3</xdr:col>
      <xdr:colOff>47625</xdr:colOff>
      <xdr:row>63</xdr:row>
      <xdr:rowOff>171428</xdr:rowOff>
    </xdr:to>
    <xdr:pic>
      <xdr:nvPicPr>
        <xdr:cNvPr id="12" name="Bildobjekt 11">
          <a:extLst>
            <a:ext uri="{FF2B5EF4-FFF2-40B4-BE49-F238E27FC236}">
              <a16:creationId xmlns:a16="http://schemas.microsoft.com/office/drawing/2014/main" id="{768743A9-31D4-48FD-82C9-B8214D9591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2250" y="11828236"/>
          <a:ext cx="1635125" cy="344692"/>
        </a:xfrm>
        <a:prstGeom prst="rect">
          <a:avLst/>
        </a:prstGeom>
      </xdr:spPr>
    </xdr:pic>
    <xdr:clientData/>
  </xdr:twoCellAnchor>
  <xdr:twoCellAnchor editAs="oneCell">
    <xdr:from>
      <xdr:col>8</xdr:col>
      <xdr:colOff>412749</xdr:colOff>
      <xdr:row>1</xdr:row>
      <xdr:rowOff>148168</xdr:rowOff>
    </xdr:from>
    <xdr:to>
      <xdr:col>11</xdr:col>
      <xdr:colOff>275166</xdr:colOff>
      <xdr:row>5</xdr:row>
      <xdr:rowOff>2552</xdr:rowOff>
    </xdr:to>
    <xdr:pic>
      <xdr:nvPicPr>
        <xdr:cNvPr id="8" name="Picture 7">
          <a:extLst>
            <a:ext uri="{FF2B5EF4-FFF2-40B4-BE49-F238E27FC236}">
              <a16:creationId xmlns:a16="http://schemas.microsoft.com/office/drawing/2014/main" id="{14820DD7-A068-4B58-B74D-B60BDE5035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323416" y="338668"/>
          <a:ext cx="1703917" cy="616384"/>
        </a:xfrm>
        <a:prstGeom prst="rect">
          <a:avLst/>
        </a:prstGeom>
      </xdr:spPr>
    </xdr:pic>
    <xdr:clientData/>
  </xdr:twoCellAnchor>
  <xdr:twoCellAnchor>
    <xdr:from>
      <xdr:col>0</xdr:col>
      <xdr:colOff>190500</xdr:colOff>
      <xdr:row>20</xdr:row>
      <xdr:rowOff>31750</xdr:rowOff>
    </xdr:from>
    <xdr:to>
      <xdr:col>11</xdr:col>
      <xdr:colOff>381000</xdr:colOff>
      <xdr:row>43</xdr:row>
      <xdr:rowOff>42332</xdr:rowOff>
    </xdr:to>
    <xdr:graphicFrame macro="">
      <xdr:nvGraphicFramePr>
        <xdr:cNvPr id="3" name="Chart 2">
          <a:extLst>
            <a:ext uri="{FF2B5EF4-FFF2-40B4-BE49-F238E27FC236}">
              <a16:creationId xmlns:a16="http://schemas.microsoft.com/office/drawing/2014/main" id="{3907C1D9-683D-49B0-BCF0-C7A945DAFD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3</xdr:col>
      <xdr:colOff>83397</xdr:colOff>
      <xdr:row>33</xdr:row>
      <xdr:rowOff>1058</xdr:rowOff>
    </xdr:to>
    <xdr:pic>
      <xdr:nvPicPr>
        <xdr:cNvPr id="2" name="Picture 3">
          <a:extLst>
            <a:ext uri="{FF2B5EF4-FFF2-40B4-BE49-F238E27FC236}">
              <a16:creationId xmlns:a16="http://schemas.microsoft.com/office/drawing/2014/main" id="{E8766814-414D-4D6F-84E4-816AD90A9586}"/>
            </a:ext>
          </a:extLst>
        </xdr:cNvPr>
        <xdr:cNvPicPr>
          <a:picLocks noChangeAspect="1"/>
        </xdr:cNvPicPr>
      </xdr:nvPicPr>
      <xdr:blipFill>
        <a:blip xmlns:r="http://schemas.openxmlformats.org/officeDocument/2006/relationships" r:embed="rId1"/>
        <a:stretch>
          <a:fillRect/>
        </a:stretch>
      </xdr:blipFill>
      <xdr:spPr>
        <a:xfrm>
          <a:off x="0" y="4962525"/>
          <a:ext cx="2189480" cy="1508125"/>
        </a:xfrm>
        <a:prstGeom prst="rect">
          <a:avLst/>
        </a:prstGeom>
      </xdr:spPr>
    </xdr:pic>
    <xdr:clientData/>
  </xdr:twoCellAnchor>
  <xdr:twoCellAnchor>
    <xdr:from>
      <xdr:col>0</xdr:col>
      <xdr:colOff>0</xdr:colOff>
      <xdr:row>39</xdr:row>
      <xdr:rowOff>161924</xdr:rowOff>
    </xdr:from>
    <xdr:to>
      <xdr:col>4</xdr:col>
      <xdr:colOff>581025</xdr:colOff>
      <xdr:row>44</xdr:row>
      <xdr:rowOff>0</xdr:rowOff>
    </xdr:to>
    <xdr:graphicFrame macro="">
      <xdr:nvGraphicFramePr>
        <xdr:cNvPr id="3" name="Diagram 2">
          <a:extLst>
            <a:ext uri="{FF2B5EF4-FFF2-40B4-BE49-F238E27FC236}">
              <a16:creationId xmlns:a16="http://schemas.microsoft.com/office/drawing/2014/main" id="{307691A8-3E6C-4992-8C8F-E268B8D5467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5F1AE-9BB5-4457-BF3D-ECCB173A87E6}">
  <dimension ref="B1:Y82"/>
  <sheetViews>
    <sheetView topLeftCell="A25" zoomScale="80" zoomScaleNormal="80" workbookViewId="0">
      <selection activeCell="C16" sqref="C16"/>
    </sheetView>
  </sheetViews>
  <sheetFormatPr defaultColWidth="9.1796875" defaultRowHeight="14.5" x14ac:dyDescent="0.35"/>
  <cols>
    <col min="1" max="1" width="9.1796875" style="29" customWidth="1"/>
    <col min="2" max="2" width="12.453125" style="29" customWidth="1"/>
    <col min="3" max="3" width="32.54296875" style="29" customWidth="1"/>
    <col min="4" max="4" width="27.453125" style="29" customWidth="1"/>
    <col min="5" max="5" width="22.81640625" style="29" customWidth="1"/>
    <col min="6" max="6" width="20.54296875" style="29" customWidth="1"/>
    <col min="7" max="7" width="25.1796875" style="29" customWidth="1"/>
    <col min="8" max="8" width="20.453125" style="29" customWidth="1"/>
    <col min="9" max="10" width="18.81640625" style="29" customWidth="1"/>
    <col min="11" max="16" width="20.453125" style="29" customWidth="1"/>
    <col min="17" max="17" width="25.1796875" style="29" customWidth="1"/>
    <col min="18" max="19" width="24" style="29" bestFit="1" customWidth="1"/>
    <col min="20" max="20" width="24" style="29" customWidth="1"/>
    <col min="21" max="21" width="17.81640625" style="29" hidden="1" customWidth="1"/>
    <col min="22" max="22" width="25" style="29" customWidth="1"/>
    <col min="23" max="23" width="15.453125" style="29" customWidth="1"/>
    <col min="24" max="24" width="14.81640625" style="29" customWidth="1"/>
    <col min="25" max="25" width="21.453125" style="29" customWidth="1"/>
    <col min="26" max="16384" width="9.1796875" style="29"/>
  </cols>
  <sheetData>
    <row r="1" spans="2:23" ht="72" customHeight="1" x14ac:dyDescent="0.35"/>
    <row r="2" spans="2:23" ht="21" customHeight="1" x14ac:dyDescent="0.45">
      <c r="C2" s="28" t="s">
        <v>0</v>
      </c>
      <c r="D2" s="25"/>
      <c r="E2" s="28" t="s">
        <v>1</v>
      </c>
    </row>
    <row r="3" spans="2:23" ht="21" customHeight="1" x14ac:dyDescent="0.45">
      <c r="C3" s="28" t="s">
        <v>2</v>
      </c>
      <c r="D3" s="25"/>
      <c r="E3" s="156"/>
      <c r="F3" s="157"/>
      <c r="G3" s="157"/>
      <c r="H3" s="157"/>
      <c r="I3" s="158"/>
    </row>
    <row r="4" spans="2:23" ht="21" customHeight="1" x14ac:dyDescent="0.45">
      <c r="C4" s="28" t="s">
        <v>3</v>
      </c>
      <c r="D4" s="25"/>
      <c r="E4" s="159"/>
      <c r="F4" s="160"/>
      <c r="G4" s="160"/>
      <c r="H4" s="160"/>
      <c r="I4" s="161"/>
    </row>
    <row r="5" spans="2:23" ht="21" customHeight="1" x14ac:dyDescent="0.45">
      <c r="C5" s="28" t="s">
        <v>4</v>
      </c>
      <c r="D5" s="25"/>
      <c r="E5" s="162"/>
      <c r="F5" s="163"/>
      <c r="G5" s="163"/>
      <c r="H5" s="163"/>
      <c r="I5" s="164"/>
    </row>
    <row r="6" spans="2:23" ht="21.75" customHeight="1" thickBot="1" x14ac:dyDescent="0.4">
      <c r="K6" s="167" t="s">
        <v>5</v>
      </c>
      <c r="L6" s="168"/>
      <c r="M6" s="167" t="s">
        <v>6</v>
      </c>
      <c r="N6" s="168"/>
      <c r="O6" s="167" t="s">
        <v>7</v>
      </c>
      <c r="P6" s="168"/>
    </row>
    <row r="7" spans="2:23" ht="60.75" customHeight="1" x14ac:dyDescent="0.35">
      <c r="B7" s="169" t="s">
        <v>8</v>
      </c>
      <c r="C7" s="120" t="s">
        <v>9</v>
      </c>
      <c r="D7" s="121" t="s">
        <v>10</v>
      </c>
      <c r="E7" s="121" t="s">
        <v>11</v>
      </c>
      <c r="F7" s="122" t="s">
        <v>12</v>
      </c>
      <c r="G7" s="120" t="s">
        <v>13</v>
      </c>
      <c r="H7" s="121" t="s">
        <v>11</v>
      </c>
      <c r="I7" s="121" t="s">
        <v>12</v>
      </c>
      <c r="J7" s="122" t="s">
        <v>14</v>
      </c>
      <c r="K7" s="120" t="s">
        <v>15</v>
      </c>
      <c r="L7" s="121" t="s">
        <v>16</v>
      </c>
      <c r="M7" s="121" t="s">
        <v>15</v>
      </c>
      <c r="N7" s="121" t="s">
        <v>16</v>
      </c>
      <c r="O7" s="121" t="s">
        <v>15</v>
      </c>
      <c r="P7" s="122" t="s">
        <v>16</v>
      </c>
      <c r="Q7" s="120" t="s">
        <v>17</v>
      </c>
      <c r="R7" s="121" t="s">
        <v>18</v>
      </c>
      <c r="S7" s="121" t="s">
        <v>19</v>
      </c>
      <c r="T7" s="121" t="s">
        <v>20</v>
      </c>
      <c r="U7" s="121" t="s">
        <v>21</v>
      </c>
      <c r="V7" s="122" t="s">
        <v>22</v>
      </c>
    </row>
    <row r="8" spans="2:23" ht="30.75" customHeight="1" x14ac:dyDescent="0.35">
      <c r="B8" s="170"/>
      <c r="C8" s="123"/>
      <c r="D8" s="26"/>
      <c r="E8" s="134"/>
      <c r="F8" s="124" t="str">
        <f>IFERROR(VLOOKUP(D8,Emissionsfaktorer!$B$4:$D$70,3,FALSE)," ")</f>
        <v xml:space="preserve"> </v>
      </c>
      <c r="G8" s="125"/>
      <c r="H8" s="134"/>
      <c r="I8" s="34" t="str">
        <f>IF(G8="Bränsleförbrukning","liter",IFERROR(VLOOKUP(G8,Emissionsfaktorer!$J$4:$M$31,4,FALSE)," "))</f>
        <v xml:space="preserve"> </v>
      </c>
      <c r="J8" s="126"/>
      <c r="K8" s="123"/>
      <c r="L8" s="109"/>
      <c r="M8" s="26"/>
      <c r="N8" s="109"/>
      <c r="O8" s="26"/>
      <c r="P8" s="129"/>
      <c r="Q8" s="142" t="str">
        <f>IFERROR((VLOOKUP(Indata!D8,Emissionsfaktorer!$B$4:$C$70,2,FALSE)*E8)," ")</f>
        <v xml:space="preserve"> </v>
      </c>
      <c r="R8" s="35" t="str">
        <f>IF(OR(K8=Emissionsfaktorer!$T$11,K8=Emissionsfaktorer!$T$12,K8=Emissionsfaktorer!$T$13,Indata!K8=Emissionsfaktorer!$T$14,Indata!K8=Emissionsfaktorer!$T$15,Indata!K8=Emissionsfaktorer!$T$16), VLOOKUP(K8,Emissionsfaktorer!$T$4:$U$16,2,FALSE)*Indata!L8+VLOOKUP(K8,Emissionsfaktorer!$T$4:$U$16,2,FALSE)*E8*L8*Transportdata!$B$51, IFERROR(VLOOKUP(K8,Emissionsfaktorer!$T$4:$U$16,2,FALSE)*Indata!E8/1000*Indata!L8,""))</f>
        <v/>
      </c>
      <c r="S8" s="35" t="str">
        <f>IF(OR(M8=Emissionsfaktorer!$T$11,M8=Emissionsfaktorer!$T$12,M8=Emissionsfaktorer!$T$13,Indata!M8=Emissionsfaktorer!$T$14,Indata!M8=Emissionsfaktorer!$T$15,Indata!M8=Emissionsfaktorer!$T$16), VLOOKUP(M8,Emissionsfaktorer!$T$4:$U$16,2,FALSE)*Indata!N8+VLOOKUP(M8,Emissionsfaktorer!$T$4:$U$16,2,FALSE)*E8*N8*Transportdata!$B$51, IFERROR(VLOOKUP(M8,Emissionsfaktorer!$T$4:$U$16,2,FALSE)*Indata!E8/1000*Indata!N8,""))</f>
        <v/>
      </c>
      <c r="T8" s="35" t="str">
        <f>IF(OR(O8=Emissionsfaktorer!$T$11,O8=Emissionsfaktorer!$T$12,O8=Emissionsfaktorer!$T$13,Indata!O8=Emissionsfaktorer!$T$14,Indata!O8=Emissionsfaktorer!$T$15,Indata!O8=Emissionsfaktorer!$T$16), VLOOKUP(O8,Emissionsfaktorer!$T$4:$U$16,2,FALSE)*Indata!P8+VLOOKUP(O8,Emissionsfaktorer!$T$4:$U$16,2,FALSE)*E8*P8*Transportdata!$B$51, IFERROR(VLOOKUP(O8,Emissionsfaktorer!$T$4:$U$16,2,FALSE)*Indata!E8/1000*Indata!P8,""))</f>
        <v/>
      </c>
      <c r="U8" s="35">
        <f>IF(R8="",0,R8)+IF(S8="",0,S8)+IF(T8="",0,T8)</f>
        <v>0</v>
      </c>
      <c r="V8" s="143" t="str">
        <f>IFERROR(IF(G8=Emissionsfaktorer!$Z$77,VLOOKUP(J8,Emissionsfaktorer!$J$4:$K$16,2,FALSE)*H8,VLOOKUP(G8,Emissionsfaktorer!$J$4:$K$16,2,FALSE)*H8*VLOOKUP(J8,Emissionsfaktorer!$F$4:$G$13,2,FALSE))," ")</f>
        <v xml:space="preserve"> </v>
      </c>
    </row>
    <row r="9" spans="2:23" ht="30.75" customHeight="1" x14ac:dyDescent="0.35">
      <c r="B9" s="170"/>
      <c r="C9" s="123"/>
      <c r="D9" s="26"/>
      <c r="E9" s="134"/>
      <c r="F9" s="124" t="str">
        <f>IFERROR(VLOOKUP(D9,Emissionsfaktorer!$B$4:$D$70,3,FALSE)," ")</f>
        <v xml:space="preserve"> </v>
      </c>
      <c r="G9" s="125"/>
      <c r="H9" s="134"/>
      <c r="I9" s="34" t="str">
        <f>IF(G9="Bränsleförbrukning","liter",IFERROR(VLOOKUP(G9,Emissionsfaktorer!$J$4:$M$31,4,FALSE)," "))</f>
        <v xml:space="preserve"> </v>
      </c>
      <c r="J9" s="126"/>
      <c r="K9" s="123"/>
      <c r="L9" s="109"/>
      <c r="M9" s="26"/>
      <c r="N9" s="109"/>
      <c r="O9" s="26"/>
      <c r="P9" s="129"/>
      <c r="Q9" s="142" t="str">
        <f>IFERROR((VLOOKUP(Indata!D9,Emissionsfaktorer!$B$4:$C$70,2,FALSE)*E9)," ")</f>
        <v xml:space="preserve"> </v>
      </c>
      <c r="R9" s="35" t="str">
        <f>IF(OR(K9=Emissionsfaktorer!$T$11,K9=Emissionsfaktorer!$T$12,K9=Emissionsfaktorer!$T$13,Indata!K9=Emissionsfaktorer!$T$14,Indata!K9=Emissionsfaktorer!$T$15,Indata!K9=Emissionsfaktorer!$T$16), VLOOKUP(K9,Emissionsfaktorer!$T$4:$U$16,2,FALSE)*Indata!L9+VLOOKUP(K9,Emissionsfaktorer!$T$4:$U$16,2,FALSE)*E9*L9*Transportdata!$B$51, IFERROR(VLOOKUP(K9,Emissionsfaktorer!$T$4:$U$16,2,FALSE)*Indata!E9/1000*Indata!L9,""))</f>
        <v/>
      </c>
      <c r="S9" s="35" t="str">
        <f>IF(OR(M9=Emissionsfaktorer!$T$11,M9=Emissionsfaktorer!$T$12,M9=Emissionsfaktorer!$T$13,Indata!M9=Emissionsfaktorer!$T$14,Indata!M9=Emissionsfaktorer!$T$15,Indata!M9=Emissionsfaktorer!$T$16), VLOOKUP(M9,Emissionsfaktorer!$T$4:$U$16,2,FALSE)*Indata!N9+VLOOKUP(M9,Emissionsfaktorer!$T$4:$U$16,2,FALSE)*E9*N9*Transportdata!$B$51, IFERROR(VLOOKUP(M9,Emissionsfaktorer!$T$4:$U$16,2,FALSE)*Indata!E9/1000*Indata!N9,""))</f>
        <v/>
      </c>
      <c r="T9" s="35" t="str">
        <f>IF(OR(O9=Emissionsfaktorer!$T$11,O9=Emissionsfaktorer!$T$12,O9=Emissionsfaktorer!$T$13,Indata!O9=Emissionsfaktorer!$T$14,Indata!O9=Emissionsfaktorer!$T$15,Indata!O9=Emissionsfaktorer!$T$16), VLOOKUP(O9,Emissionsfaktorer!$T$4:$U$16,2,FALSE)*Indata!P9+VLOOKUP(O9,Emissionsfaktorer!$T$4:$U$16,2,FALSE)*E9*P9*Transportdata!$B$51, IFERROR(VLOOKUP(O9,Emissionsfaktorer!$T$4:$U$16,2,FALSE)*Indata!E9/1000*Indata!P9,""))</f>
        <v/>
      </c>
      <c r="U9" s="35">
        <f t="shared" ref="U9:U27" si="0">IF(R9="",0,R9)+IF(S9="",0,S9)+IF(T9="",0,T9)</f>
        <v>0</v>
      </c>
      <c r="V9" s="143" t="str">
        <f>IFERROR(IF(G9=Emissionsfaktorer!$Z$77,VLOOKUP(J9,Emissionsfaktorer!$J$4:$K$16,2,FALSE)*H9,VLOOKUP(G9,Emissionsfaktorer!$J$4:$K$16,2,FALSE)*H9*VLOOKUP(J9,Emissionsfaktorer!$F$4:$G$13,2,FALSE))," ")</f>
        <v xml:space="preserve"> </v>
      </c>
    </row>
    <row r="10" spans="2:23" ht="30.75" customHeight="1" x14ac:dyDescent="0.35">
      <c r="B10" s="170"/>
      <c r="C10" s="123"/>
      <c r="D10" s="26"/>
      <c r="E10" s="134"/>
      <c r="F10" s="124" t="str">
        <f>IFERROR(VLOOKUP(D10,Emissionsfaktorer!$B$4:$D$70,3,FALSE)," ")</f>
        <v xml:space="preserve"> </v>
      </c>
      <c r="G10" s="125"/>
      <c r="H10" s="134"/>
      <c r="I10" s="34" t="str">
        <f>IF(G10="Bränsleförbrukning","liter",IFERROR(VLOOKUP(G10,Emissionsfaktorer!$J$4:$M$31,4,FALSE)," "))</f>
        <v xml:space="preserve"> </v>
      </c>
      <c r="J10" s="126"/>
      <c r="K10" s="123"/>
      <c r="L10" s="109"/>
      <c r="M10" s="26"/>
      <c r="N10" s="109"/>
      <c r="O10" s="26"/>
      <c r="P10" s="129"/>
      <c r="Q10" s="142" t="str">
        <f>IFERROR((VLOOKUP(Indata!D10,Emissionsfaktorer!$B$4:$C$70,2,FALSE)*E10)," ")</f>
        <v xml:space="preserve"> </v>
      </c>
      <c r="R10" s="35" t="str">
        <f>IF(OR(K10=Emissionsfaktorer!$T$11,K10=Emissionsfaktorer!$T$12,K10=Emissionsfaktorer!$T$13,Indata!K10=Emissionsfaktorer!$T$14,Indata!K10=Emissionsfaktorer!$T$15,Indata!K10=Emissionsfaktorer!$T$16), VLOOKUP(K10,Emissionsfaktorer!$T$4:$U$16,2,FALSE)*Indata!L10+VLOOKUP(K10,Emissionsfaktorer!$T$4:$U$16,2,FALSE)*E10*L10*Transportdata!$B$51, IFERROR(VLOOKUP(K10,Emissionsfaktorer!$T$4:$U$16,2,FALSE)*Indata!E10/1000*Indata!L10,""))</f>
        <v/>
      </c>
      <c r="S10" s="35" t="str">
        <f>IF(OR(M10=Emissionsfaktorer!$T$11,M10=Emissionsfaktorer!$T$12,M10=Emissionsfaktorer!$T$13,Indata!M10=Emissionsfaktorer!$T$14,Indata!M10=Emissionsfaktorer!$T$15,Indata!M10=Emissionsfaktorer!$T$16), VLOOKUP(M10,Emissionsfaktorer!$T$4:$U$16,2,FALSE)*Indata!N10+VLOOKUP(M10,Emissionsfaktorer!$T$4:$U$16,2,FALSE)*E10*N10*Transportdata!$B$51, IFERROR(VLOOKUP(M10,Emissionsfaktorer!$T$4:$U$16,2,FALSE)*Indata!E10/1000*Indata!N10,""))</f>
        <v/>
      </c>
      <c r="T10" s="35" t="str">
        <f>IF(OR(O10=Emissionsfaktorer!$T$11,O10=Emissionsfaktorer!$T$12,O10=Emissionsfaktorer!$T$13,Indata!O10=Emissionsfaktorer!$T$14,Indata!O10=Emissionsfaktorer!$T$15,Indata!O10=Emissionsfaktorer!$T$16), VLOOKUP(O10,Emissionsfaktorer!$T$4:$U$16,2,FALSE)*Indata!P10+VLOOKUP(O10,Emissionsfaktorer!$T$4:$U$16,2,FALSE)*E10*P10*Transportdata!$B$51, IFERROR(VLOOKUP(O10,Emissionsfaktorer!$T$4:$U$16,2,FALSE)*Indata!E10/1000*Indata!P10,""))</f>
        <v/>
      </c>
      <c r="U10" s="35">
        <f t="shared" si="0"/>
        <v>0</v>
      </c>
      <c r="V10" s="143" t="str">
        <f>IFERROR(IF(G10=Emissionsfaktorer!$Z$77,VLOOKUP(J10,Emissionsfaktorer!$J$4:$K$16,2,FALSE)*H10,VLOOKUP(G10,Emissionsfaktorer!$J$4:$K$16,2,FALSE)*H10*VLOOKUP(J10,Emissionsfaktorer!$F$4:$G$13,2,FALSE))," ")</f>
        <v xml:space="preserve"> </v>
      </c>
    </row>
    <row r="11" spans="2:23" ht="30.75" customHeight="1" x14ac:dyDescent="0.35">
      <c r="B11" s="170"/>
      <c r="C11" s="123"/>
      <c r="D11" s="26"/>
      <c r="E11" s="134"/>
      <c r="F11" s="124" t="str">
        <f>IFERROR(VLOOKUP(D11,Emissionsfaktorer!$B$4:$D$70,3,FALSE)," ")</f>
        <v xml:space="preserve"> </v>
      </c>
      <c r="G11" s="125"/>
      <c r="H11" s="134"/>
      <c r="I11" s="34" t="str">
        <f>IF(G11="Bränsleförbrukning","liter",IFERROR(VLOOKUP(G11,Emissionsfaktorer!$J$4:$M$31,4,FALSE)," "))</f>
        <v xml:space="preserve"> </v>
      </c>
      <c r="J11" s="126"/>
      <c r="K11" s="123"/>
      <c r="L11" s="109"/>
      <c r="M11" s="26"/>
      <c r="N11" s="109"/>
      <c r="O11" s="26"/>
      <c r="P11" s="129"/>
      <c r="Q11" s="142" t="str">
        <f>IFERROR((VLOOKUP(Indata!D11,Emissionsfaktorer!$B$4:$C$70,2,FALSE)*E11)," ")</f>
        <v xml:space="preserve"> </v>
      </c>
      <c r="R11" s="35" t="str">
        <f>IF(OR(K11=Emissionsfaktorer!$T$11,K11=Emissionsfaktorer!$T$12,K11=Emissionsfaktorer!$T$13,Indata!K11=Emissionsfaktorer!$T$14,Indata!K11=Emissionsfaktorer!$T$15,Indata!K11=Emissionsfaktorer!$T$16), VLOOKUP(K11,Emissionsfaktorer!$T$4:$U$16,2,FALSE)*Indata!L11+VLOOKUP(K11,Emissionsfaktorer!$T$4:$U$16,2,FALSE)*E11*L11*Transportdata!$B$51, IFERROR(VLOOKUP(K11,Emissionsfaktorer!$T$4:$U$16,2,FALSE)*Indata!E11/1000*Indata!L11,""))</f>
        <v/>
      </c>
      <c r="S11" s="35" t="str">
        <f>IF(OR(M11=Emissionsfaktorer!$T$11,M11=Emissionsfaktorer!$T$12,M11=Emissionsfaktorer!$T$13,Indata!M11=Emissionsfaktorer!$T$14,Indata!M11=Emissionsfaktorer!$T$15,Indata!M11=Emissionsfaktorer!$T$16), VLOOKUP(M11,Emissionsfaktorer!$T$4:$U$16,2,FALSE)*Indata!N11+VLOOKUP(M11,Emissionsfaktorer!$T$4:$U$16,2,FALSE)*E11*N11*Transportdata!$B$51, IFERROR(VLOOKUP(M11,Emissionsfaktorer!$T$4:$U$16,2,FALSE)*Indata!E11/1000*Indata!N11,""))</f>
        <v/>
      </c>
      <c r="T11" s="35" t="str">
        <f>IF(OR(O11=Emissionsfaktorer!$T$11,O11=Emissionsfaktorer!$T$12,O11=Emissionsfaktorer!$T$13,Indata!O11=Emissionsfaktorer!$T$14,Indata!O11=Emissionsfaktorer!$T$15,Indata!O11=Emissionsfaktorer!$T$16), VLOOKUP(O11,Emissionsfaktorer!$T$4:$U$16,2,FALSE)*Indata!P11+VLOOKUP(O11,Emissionsfaktorer!$T$4:$U$16,2,FALSE)*E11*P11*Transportdata!$B$51, IFERROR(VLOOKUP(O11,Emissionsfaktorer!$T$4:$U$16,2,FALSE)*Indata!E11/1000*Indata!P11,""))</f>
        <v/>
      </c>
      <c r="U11" s="35">
        <f t="shared" si="0"/>
        <v>0</v>
      </c>
      <c r="V11" s="143" t="str">
        <f>IFERROR(IF(G11=Emissionsfaktorer!$Z$77,VLOOKUP(J11,Emissionsfaktorer!$J$4:$K$16,2,FALSE)*H11,VLOOKUP(G11,Emissionsfaktorer!$J$4:$K$16,2,FALSE)*H11*VLOOKUP(J11,Emissionsfaktorer!$F$4:$G$13,2,FALSE))," ")</f>
        <v xml:space="preserve"> </v>
      </c>
      <c r="W11" s="30"/>
    </row>
    <row r="12" spans="2:23" ht="30.75" customHeight="1" x14ac:dyDescent="0.35">
      <c r="B12" s="170"/>
      <c r="C12" s="123"/>
      <c r="D12" s="26"/>
      <c r="E12" s="134"/>
      <c r="F12" s="124" t="str">
        <f>IFERROR(VLOOKUP(D12,Emissionsfaktorer!$B$4:$D$70,3,FALSE)," ")</f>
        <v xml:space="preserve"> </v>
      </c>
      <c r="G12" s="125"/>
      <c r="H12" s="134"/>
      <c r="I12" s="34" t="str">
        <f>IF(G12="Bränsleförbrukning","liter",IFERROR(VLOOKUP(G12,Emissionsfaktorer!$J$4:$M$31,4,FALSE)," "))</f>
        <v xml:space="preserve"> </v>
      </c>
      <c r="J12" s="126"/>
      <c r="K12" s="123"/>
      <c r="L12" s="109"/>
      <c r="M12" s="26"/>
      <c r="N12" s="109"/>
      <c r="O12" s="26"/>
      <c r="P12" s="129"/>
      <c r="Q12" s="142" t="str">
        <f>IFERROR((VLOOKUP(Indata!D12,Emissionsfaktorer!$B$4:$C$70,2,FALSE)*E12)," ")</f>
        <v xml:space="preserve"> </v>
      </c>
      <c r="R12" s="35" t="str">
        <f>IF(OR(K12=Emissionsfaktorer!$T$11,K12=Emissionsfaktorer!$T$12,K12=Emissionsfaktorer!$T$13,Indata!K12=Emissionsfaktorer!$T$14,Indata!K12=Emissionsfaktorer!$T$15,Indata!K12=Emissionsfaktorer!$T$16), VLOOKUP(K12,Emissionsfaktorer!$T$4:$U$16,2,FALSE)*Indata!L12+VLOOKUP(K12,Emissionsfaktorer!$T$4:$U$16,2,FALSE)*E12*L12*Transportdata!$B$51, IFERROR(VLOOKUP(K12,Emissionsfaktorer!$T$4:$U$16,2,FALSE)*Indata!E12/1000*Indata!L12,""))</f>
        <v/>
      </c>
      <c r="S12" s="35" t="str">
        <f>IF(OR(M12=Emissionsfaktorer!$T$11,M12=Emissionsfaktorer!$T$12,M12=Emissionsfaktorer!$T$13,Indata!M12=Emissionsfaktorer!$T$14,Indata!M12=Emissionsfaktorer!$T$15,Indata!M12=Emissionsfaktorer!$T$16), VLOOKUP(M12,Emissionsfaktorer!$T$4:$U$16,2,FALSE)*Indata!N12+VLOOKUP(M12,Emissionsfaktorer!$T$4:$U$16,2,FALSE)*E12*N12*Transportdata!$B$51, IFERROR(VLOOKUP(M12,Emissionsfaktorer!$T$4:$U$16,2,FALSE)*Indata!E12/1000*Indata!N12,""))</f>
        <v/>
      </c>
      <c r="T12" s="35" t="str">
        <f>IF(OR(O12=Emissionsfaktorer!$T$11,O12=Emissionsfaktorer!$T$12,O12=Emissionsfaktorer!$T$13,Indata!O12=Emissionsfaktorer!$T$14,Indata!O12=Emissionsfaktorer!$T$15,Indata!O12=Emissionsfaktorer!$T$16), VLOOKUP(O12,Emissionsfaktorer!$T$4:$U$16,2,FALSE)*Indata!P12+VLOOKUP(O12,Emissionsfaktorer!$T$4:$U$16,2,FALSE)*E12*P12*Transportdata!$B$51, IFERROR(VLOOKUP(O12,Emissionsfaktorer!$T$4:$U$16,2,FALSE)*Indata!E12/1000*Indata!P12,""))</f>
        <v/>
      </c>
      <c r="U12" s="35">
        <f t="shared" si="0"/>
        <v>0</v>
      </c>
      <c r="V12" s="143" t="str">
        <f>IFERROR(IF(G12=Emissionsfaktorer!$Z$77,VLOOKUP(J12,Emissionsfaktorer!$J$4:$K$16,2,FALSE)*H12,VLOOKUP(G12,Emissionsfaktorer!$J$4:$K$16,2,FALSE)*H12*VLOOKUP(J12,Emissionsfaktorer!$F$4:$G$13,2,FALSE))," ")</f>
        <v xml:space="preserve"> </v>
      </c>
    </row>
    <row r="13" spans="2:23" ht="30.75" customHeight="1" x14ac:dyDescent="0.35">
      <c r="B13" s="170"/>
      <c r="C13" s="123"/>
      <c r="D13" s="26"/>
      <c r="E13" s="134"/>
      <c r="F13" s="124" t="str">
        <f>IFERROR(VLOOKUP(D13,Emissionsfaktorer!$B$4:$D$70,3,FALSE)," ")</f>
        <v xml:space="preserve"> </v>
      </c>
      <c r="G13" s="125"/>
      <c r="H13" s="134"/>
      <c r="I13" s="34" t="str">
        <f>IF(G13="Bränsleförbrukning","liter",IFERROR(VLOOKUP(G13,Emissionsfaktorer!$J$4:$M$31,4,FALSE)," "))</f>
        <v xml:space="preserve"> </v>
      </c>
      <c r="J13" s="126"/>
      <c r="K13" s="123"/>
      <c r="L13" s="109"/>
      <c r="M13" s="26"/>
      <c r="N13" s="109"/>
      <c r="O13" s="26"/>
      <c r="P13" s="129"/>
      <c r="Q13" s="142" t="str">
        <f>IFERROR((VLOOKUP(Indata!D13,Emissionsfaktorer!$B$4:$C$70,2,FALSE)*E13)," ")</f>
        <v xml:space="preserve"> </v>
      </c>
      <c r="R13" s="35" t="str">
        <f>IF(OR(K13=Emissionsfaktorer!$T$11,K13=Emissionsfaktorer!$T$12,K13=Emissionsfaktorer!$T$13,Indata!K13=Emissionsfaktorer!$T$14,Indata!K13=Emissionsfaktorer!$T$15,Indata!K13=Emissionsfaktorer!$T$16), VLOOKUP(K13,Emissionsfaktorer!$T$4:$U$16,2,FALSE)*Indata!L13+VLOOKUP(K13,Emissionsfaktorer!$T$4:$U$16,2,FALSE)*E13*L13*Transportdata!$B$51, IFERROR(VLOOKUP(K13,Emissionsfaktorer!$T$4:$U$16,2,FALSE)*Indata!E13/1000*Indata!L13,""))</f>
        <v/>
      </c>
      <c r="S13" s="35" t="str">
        <f>IF(OR(M13=Emissionsfaktorer!$T$11,M13=Emissionsfaktorer!$T$12,M13=Emissionsfaktorer!$T$13,Indata!M13=Emissionsfaktorer!$T$14,Indata!M13=Emissionsfaktorer!$T$15,Indata!M13=Emissionsfaktorer!$T$16), VLOOKUP(M13,Emissionsfaktorer!$T$4:$U$16,2,FALSE)*Indata!N13+VLOOKUP(M13,Emissionsfaktorer!$T$4:$U$16,2,FALSE)*E13*N13*Transportdata!$B$51, IFERROR(VLOOKUP(M13,Emissionsfaktorer!$T$4:$U$16,2,FALSE)*Indata!E13/1000*Indata!N13,""))</f>
        <v/>
      </c>
      <c r="T13" s="35" t="str">
        <f>IF(OR(O13=Emissionsfaktorer!$T$11,O13=Emissionsfaktorer!$T$12,O13=Emissionsfaktorer!$T$13,Indata!O13=Emissionsfaktorer!$T$14,Indata!O13=Emissionsfaktorer!$T$15,Indata!O13=Emissionsfaktorer!$T$16), VLOOKUP(O13,Emissionsfaktorer!$T$4:$U$16,2,FALSE)*Indata!P13+VLOOKUP(O13,Emissionsfaktorer!$T$4:$U$16,2,FALSE)*E13*P13*Transportdata!$B$51, IFERROR(VLOOKUP(O13,Emissionsfaktorer!$T$4:$U$16,2,FALSE)*Indata!E13/1000*Indata!P13,""))</f>
        <v/>
      </c>
      <c r="U13" s="35">
        <f t="shared" si="0"/>
        <v>0</v>
      </c>
      <c r="V13" s="143" t="str">
        <f>IFERROR(IF(G13=Emissionsfaktorer!$Z$77,VLOOKUP(J13,Emissionsfaktorer!$J$4:$K$16,2,FALSE)*H13,VLOOKUP(G13,Emissionsfaktorer!$J$4:$K$16,2,FALSE)*H13*VLOOKUP(J13,Emissionsfaktorer!$F$4:$G$13,2,FALSE))," ")</f>
        <v xml:space="preserve"> </v>
      </c>
    </row>
    <row r="14" spans="2:23" ht="30.75" customHeight="1" x14ac:dyDescent="0.35">
      <c r="B14" s="170"/>
      <c r="C14" s="123"/>
      <c r="D14" s="26"/>
      <c r="E14" s="134"/>
      <c r="F14" s="124" t="str">
        <f>IFERROR(VLOOKUP(D14,Emissionsfaktorer!$B$4:$D$70,3,FALSE)," ")</f>
        <v xml:space="preserve"> </v>
      </c>
      <c r="G14" s="125"/>
      <c r="H14" s="134"/>
      <c r="I14" s="34" t="str">
        <f>IF(G14="Bränsleförbrukning","liter",IFERROR(VLOOKUP(G14,Emissionsfaktorer!$J$4:$M$31,4,FALSE)," "))</f>
        <v xml:space="preserve"> </v>
      </c>
      <c r="J14" s="126"/>
      <c r="K14" s="123"/>
      <c r="L14" s="109"/>
      <c r="M14" s="26"/>
      <c r="N14" s="109"/>
      <c r="O14" s="26"/>
      <c r="P14" s="129"/>
      <c r="Q14" s="142" t="str">
        <f>IFERROR((VLOOKUP(Indata!D14,Emissionsfaktorer!$B$4:$C$70,2,FALSE)*E14)," ")</f>
        <v xml:space="preserve"> </v>
      </c>
      <c r="R14" s="35" t="str">
        <f>IF(OR(K14=Emissionsfaktorer!$T$11,K14=Emissionsfaktorer!$T$12,K14=Emissionsfaktorer!$T$13,Indata!K14=Emissionsfaktorer!$T$14,Indata!K14=Emissionsfaktorer!$T$15,Indata!K14=Emissionsfaktorer!$T$16), VLOOKUP(K14,Emissionsfaktorer!$T$4:$U$16,2,FALSE)*Indata!L14+VLOOKUP(K14,Emissionsfaktorer!$T$4:$U$16,2,FALSE)*E14*L14*Transportdata!$B$51, IFERROR(VLOOKUP(K14,Emissionsfaktorer!$T$4:$U$16,2,FALSE)*Indata!E14/1000*Indata!L14,""))</f>
        <v/>
      </c>
      <c r="S14" s="35" t="str">
        <f>IF(OR(M14=Emissionsfaktorer!$T$11,M14=Emissionsfaktorer!$T$12,M14=Emissionsfaktorer!$T$13,Indata!M14=Emissionsfaktorer!$T$14,Indata!M14=Emissionsfaktorer!$T$15,Indata!M14=Emissionsfaktorer!$T$16), VLOOKUP(M14,Emissionsfaktorer!$T$4:$U$16,2,FALSE)*Indata!N14+VLOOKUP(M14,Emissionsfaktorer!$T$4:$U$16,2,FALSE)*E14*N14*Transportdata!$B$51, IFERROR(VLOOKUP(M14,Emissionsfaktorer!$T$4:$U$16,2,FALSE)*Indata!E14/1000*Indata!N14,""))</f>
        <v/>
      </c>
      <c r="T14" s="35" t="str">
        <f>IF(OR(O14=Emissionsfaktorer!$T$11,O14=Emissionsfaktorer!$T$12,O14=Emissionsfaktorer!$T$13,Indata!O14=Emissionsfaktorer!$T$14,Indata!O14=Emissionsfaktorer!$T$15,Indata!O14=Emissionsfaktorer!$T$16), VLOOKUP(O14,Emissionsfaktorer!$T$4:$U$16,2,FALSE)*Indata!P14+VLOOKUP(O14,Emissionsfaktorer!$T$4:$U$16,2,FALSE)*E14*P14*Transportdata!$B$51, IFERROR(VLOOKUP(O14,Emissionsfaktorer!$T$4:$U$16,2,FALSE)*Indata!E14/1000*Indata!P14,""))</f>
        <v/>
      </c>
      <c r="U14" s="35">
        <f t="shared" si="0"/>
        <v>0</v>
      </c>
      <c r="V14" s="143" t="str">
        <f>IFERROR(IF(G14=Emissionsfaktorer!$Z$77,VLOOKUP(J14,Emissionsfaktorer!$J$4:$K$16,2,FALSE)*H14,VLOOKUP(G14,Emissionsfaktorer!$J$4:$K$16,2,FALSE)*H14*VLOOKUP(J14,Emissionsfaktorer!$F$4:$G$13,2,FALSE))," ")</f>
        <v xml:space="preserve"> </v>
      </c>
    </row>
    <row r="15" spans="2:23" ht="30.75" customHeight="1" x14ac:dyDescent="0.35">
      <c r="B15" s="170"/>
      <c r="C15" s="123"/>
      <c r="D15" s="26"/>
      <c r="E15" s="134"/>
      <c r="F15" s="124" t="str">
        <f>IFERROR(VLOOKUP(D15,Emissionsfaktorer!$B$4:$D$70,3,FALSE)," ")</f>
        <v xml:space="preserve"> </v>
      </c>
      <c r="G15" s="125"/>
      <c r="H15" s="134"/>
      <c r="I15" s="34" t="str">
        <f>IF(G15="Bränsleförbrukning","liter",IFERROR(VLOOKUP(G15,Emissionsfaktorer!$J$4:$M$31,4,FALSE)," "))</f>
        <v xml:space="preserve"> </v>
      </c>
      <c r="J15" s="126"/>
      <c r="K15" s="123"/>
      <c r="L15" s="109"/>
      <c r="M15" s="26"/>
      <c r="N15" s="109"/>
      <c r="O15" s="26"/>
      <c r="P15" s="129"/>
      <c r="Q15" s="142" t="str">
        <f>IFERROR((VLOOKUP(Indata!D15,Emissionsfaktorer!$B$4:$C$70,2,FALSE)*E15)," ")</f>
        <v xml:space="preserve"> </v>
      </c>
      <c r="R15" s="35" t="str">
        <f>IF(OR(K15=Emissionsfaktorer!$T$11,K15=Emissionsfaktorer!$T$12,K15=Emissionsfaktorer!$T$13,Indata!K15=Emissionsfaktorer!$T$14,Indata!K15=Emissionsfaktorer!$T$15,Indata!K15=Emissionsfaktorer!$T$16), VLOOKUP(K15,Emissionsfaktorer!$T$4:$U$16,2,FALSE)*Indata!L15+VLOOKUP(K15,Emissionsfaktorer!$T$4:$U$16,2,FALSE)*E15*L15*Transportdata!$B$51, IFERROR(VLOOKUP(K15,Emissionsfaktorer!$T$4:$U$16,2,FALSE)*Indata!E15/1000*Indata!L15,""))</f>
        <v/>
      </c>
      <c r="S15" s="35" t="str">
        <f>IF(OR(M15=Emissionsfaktorer!$T$11,M15=Emissionsfaktorer!$T$12,M15=Emissionsfaktorer!$T$13,Indata!M15=Emissionsfaktorer!$T$14,Indata!M15=Emissionsfaktorer!$T$15,Indata!M15=Emissionsfaktorer!$T$16), VLOOKUP(M15,Emissionsfaktorer!$T$4:$U$16,2,FALSE)*Indata!N15+VLOOKUP(M15,Emissionsfaktorer!$T$4:$U$16,2,FALSE)*E15*N15*Transportdata!$B$51, IFERROR(VLOOKUP(M15,Emissionsfaktorer!$T$4:$U$16,2,FALSE)*Indata!E15/1000*Indata!N15,""))</f>
        <v/>
      </c>
      <c r="T15" s="35" t="str">
        <f>IF(OR(O15=Emissionsfaktorer!$T$11,O15=Emissionsfaktorer!$T$12,O15=Emissionsfaktorer!$T$13,Indata!O15=Emissionsfaktorer!$T$14,Indata!O15=Emissionsfaktorer!$T$15,Indata!O15=Emissionsfaktorer!$T$16), VLOOKUP(O15,Emissionsfaktorer!$T$4:$U$16,2,FALSE)*Indata!P15+VLOOKUP(O15,Emissionsfaktorer!$T$4:$U$16,2,FALSE)*E15*P15*Transportdata!$B$51, IFERROR(VLOOKUP(O15,Emissionsfaktorer!$T$4:$U$16,2,FALSE)*Indata!E15/1000*Indata!P15,""))</f>
        <v/>
      </c>
      <c r="U15" s="35">
        <f t="shared" si="0"/>
        <v>0</v>
      </c>
      <c r="V15" s="143" t="str">
        <f>IFERROR(IF(G15=Emissionsfaktorer!$Z$77,VLOOKUP(J15,Emissionsfaktorer!$J$4:$K$16,2,FALSE)*H15,VLOOKUP(G15,Emissionsfaktorer!$J$4:$K$16,2,FALSE)*H15*VLOOKUP(J15,Emissionsfaktorer!$F$4:$G$13,2,FALSE))," ")</f>
        <v xml:space="preserve"> </v>
      </c>
    </row>
    <row r="16" spans="2:23" ht="30.75" customHeight="1" x14ac:dyDescent="0.35">
      <c r="B16" s="170"/>
      <c r="C16" s="123"/>
      <c r="D16" s="26"/>
      <c r="E16" s="134"/>
      <c r="F16" s="124" t="str">
        <f>IFERROR(VLOOKUP(D16,Emissionsfaktorer!$B$4:$D$70,3,FALSE)," ")</f>
        <v xml:space="preserve"> </v>
      </c>
      <c r="G16" s="125"/>
      <c r="H16" s="134"/>
      <c r="I16" s="34" t="str">
        <f>IF(G16="Bränsleförbrukning","liter",IFERROR(VLOOKUP(G16,Emissionsfaktorer!$J$4:$M$31,4,FALSE)," "))</f>
        <v xml:space="preserve"> </v>
      </c>
      <c r="J16" s="126"/>
      <c r="K16" s="123"/>
      <c r="L16" s="109"/>
      <c r="M16" s="26"/>
      <c r="N16" s="109"/>
      <c r="O16" s="26"/>
      <c r="P16" s="129"/>
      <c r="Q16" s="142" t="str">
        <f>IFERROR((VLOOKUP(Indata!D16,Emissionsfaktorer!$B$4:$C$70,2,FALSE)*E16)," ")</f>
        <v xml:space="preserve"> </v>
      </c>
      <c r="R16" s="35" t="str">
        <f>IF(OR(K16=Emissionsfaktorer!$T$11,K16=Emissionsfaktorer!$T$12,K16=Emissionsfaktorer!$T$13,Indata!K16=Emissionsfaktorer!$T$14,Indata!K16=Emissionsfaktorer!$T$15,Indata!K16=Emissionsfaktorer!$T$16), VLOOKUP(K16,Emissionsfaktorer!$T$4:$U$16,2,FALSE)*Indata!L16+VLOOKUP(K16,Emissionsfaktorer!$T$4:$U$16,2,FALSE)*E16*L16*Transportdata!$B$51, IFERROR(VLOOKUP(K16,Emissionsfaktorer!$T$4:$U$16,2,FALSE)*Indata!E16/1000*Indata!L16,""))</f>
        <v/>
      </c>
      <c r="S16" s="35" t="str">
        <f>IF(OR(M16=Emissionsfaktorer!$T$11,M16=Emissionsfaktorer!$T$12,M16=Emissionsfaktorer!$T$13,Indata!M16=Emissionsfaktorer!$T$14,Indata!M16=Emissionsfaktorer!$T$15,Indata!M16=Emissionsfaktorer!$T$16), VLOOKUP(M16,Emissionsfaktorer!$T$4:$U$16,2,FALSE)*Indata!N16+VLOOKUP(M16,Emissionsfaktorer!$T$4:$U$16,2,FALSE)*E16*N16*Transportdata!$B$51, IFERROR(VLOOKUP(M16,Emissionsfaktorer!$T$4:$U$16,2,FALSE)*Indata!E16/1000*Indata!N16,""))</f>
        <v/>
      </c>
      <c r="T16" s="35" t="str">
        <f>IF(OR(O16=Emissionsfaktorer!$T$11,O16=Emissionsfaktorer!$T$12,O16=Emissionsfaktorer!$T$13,Indata!O16=Emissionsfaktorer!$T$14,Indata!O16=Emissionsfaktorer!$T$15,Indata!O16=Emissionsfaktorer!$T$16), VLOOKUP(O16,Emissionsfaktorer!$T$4:$U$16,2,FALSE)*Indata!P16+VLOOKUP(O16,Emissionsfaktorer!$T$4:$U$16,2,FALSE)*E16*P16*Transportdata!$B$51, IFERROR(VLOOKUP(O16,Emissionsfaktorer!$T$4:$U$16,2,FALSE)*Indata!E16/1000*Indata!P16,""))</f>
        <v/>
      </c>
      <c r="U16" s="35">
        <f t="shared" si="0"/>
        <v>0</v>
      </c>
      <c r="V16" s="143" t="str">
        <f>IFERROR(IF(G16=Emissionsfaktorer!$Z$77,VLOOKUP(J16,Emissionsfaktorer!$J$4:$K$16,2,FALSE)*H16,VLOOKUP(G16,Emissionsfaktorer!$J$4:$K$16,2,FALSE)*H16*VLOOKUP(J16,Emissionsfaktorer!$F$4:$G$13,2,FALSE))," ")</f>
        <v xml:space="preserve"> </v>
      </c>
    </row>
    <row r="17" spans="2:25" ht="30.75" customHeight="1" x14ac:dyDescent="0.35">
      <c r="B17" s="170"/>
      <c r="C17" s="123"/>
      <c r="D17" s="26"/>
      <c r="E17" s="134"/>
      <c r="F17" s="124" t="str">
        <f>IFERROR(VLOOKUP(D17,Emissionsfaktorer!$B$4:$D$70,3,FALSE)," ")</f>
        <v xml:space="preserve"> </v>
      </c>
      <c r="G17" s="125"/>
      <c r="H17" s="134"/>
      <c r="I17" s="34" t="str">
        <f>IF(G17="Bränsleförbrukning","liter",IFERROR(VLOOKUP(G17,Emissionsfaktorer!$J$4:$M$31,4,FALSE)," "))</f>
        <v xml:space="preserve"> </v>
      </c>
      <c r="J17" s="126"/>
      <c r="K17" s="123"/>
      <c r="L17" s="109"/>
      <c r="M17" s="26"/>
      <c r="N17" s="109"/>
      <c r="O17" s="26"/>
      <c r="P17" s="129"/>
      <c r="Q17" s="142" t="str">
        <f>IFERROR((VLOOKUP(Indata!D17,Emissionsfaktorer!$B$4:$C$70,2,FALSE)*E17)," ")</f>
        <v xml:space="preserve"> </v>
      </c>
      <c r="R17" s="35" t="str">
        <f>IF(OR(K17=Emissionsfaktorer!$T$11,K17=Emissionsfaktorer!$T$12,K17=Emissionsfaktorer!$T$13,Indata!K17=Emissionsfaktorer!$T$14,Indata!K17=Emissionsfaktorer!$T$15,Indata!K17=Emissionsfaktorer!$T$16), VLOOKUP(K17,Emissionsfaktorer!$T$4:$U$16,2,FALSE)*Indata!L17+VLOOKUP(K17,Emissionsfaktorer!$T$4:$U$16,2,FALSE)*E17*L17*Transportdata!$B$51, IFERROR(VLOOKUP(K17,Emissionsfaktorer!$T$4:$U$16,2,FALSE)*Indata!E17/1000*Indata!L17,""))</f>
        <v/>
      </c>
      <c r="S17" s="35" t="str">
        <f>IF(OR(M17=Emissionsfaktorer!$T$11,M17=Emissionsfaktorer!$T$12,M17=Emissionsfaktorer!$T$13,Indata!M17=Emissionsfaktorer!$T$14,Indata!M17=Emissionsfaktorer!$T$15,Indata!M17=Emissionsfaktorer!$T$16), VLOOKUP(M17,Emissionsfaktorer!$T$4:$U$16,2,FALSE)*Indata!N17+VLOOKUP(M17,Emissionsfaktorer!$T$4:$U$16,2,FALSE)*E17*N17*Transportdata!$B$51, IFERROR(VLOOKUP(M17,Emissionsfaktorer!$T$4:$U$16,2,FALSE)*Indata!E17/1000*Indata!N17,""))</f>
        <v/>
      </c>
      <c r="T17" s="35" t="str">
        <f>IF(OR(O17=Emissionsfaktorer!$T$11,O17=Emissionsfaktorer!$T$12,O17=Emissionsfaktorer!$T$13,Indata!O17=Emissionsfaktorer!$T$14,Indata!O17=Emissionsfaktorer!$T$15,Indata!O17=Emissionsfaktorer!$T$16), VLOOKUP(O17,Emissionsfaktorer!$T$4:$U$16,2,FALSE)*Indata!P17+VLOOKUP(O17,Emissionsfaktorer!$T$4:$U$16,2,FALSE)*E17*P17*Transportdata!$B$51, IFERROR(VLOOKUP(O17,Emissionsfaktorer!$T$4:$U$16,2,FALSE)*Indata!E17/1000*Indata!P17,""))</f>
        <v/>
      </c>
      <c r="U17" s="35">
        <f t="shared" si="0"/>
        <v>0</v>
      </c>
      <c r="V17" s="143" t="str">
        <f>IFERROR(IF(G17=Emissionsfaktorer!$Z$77,VLOOKUP(J17,Emissionsfaktorer!$J$4:$K$16,2,FALSE)*H17,VLOOKUP(G17,Emissionsfaktorer!$J$4:$K$16,2,FALSE)*H17*VLOOKUP(J17,Emissionsfaktorer!$F$4:$G$13,2,FALSE))," ")</f>
        <v xml:space="preserve"> </v>
      </c>
    </row>
    <row r="18" spans="2:25" ht="30.75" customHeight="1" x14ac:dyDescent="0.35">
      <c r="B18" s="170"/>
      <c r="C18" s="123"/>
      <c r="D18" s="26"/>
      <c r="E18" s="134"/>
      <c r="F18" s="124" t="str">
        <f>IFERROR(VLOOKUP(D18,Emissionsfaktorer!$B$4:$D$70,3,FALSE)," ")</f>
        <v xml:space="preserve"> </v>
      </c>
      <c r="G18" s="125"/>
      <c r="H18" s="134"/>
      <c r="I18" s="34" t="str">
        <f>IF(G18="Bränsleförbrukning","liter",IFERROR(VLOOKUP(G18,Emissionsfaktorer!$J$4:$M$31,4,FALSE)," "))</f>
        <v xml:space="preserve"> </v>
      </c>
      <c r="J18" s="126"/>
      <c r="K18" s="123"/>
      <c r="L18" s="109"/>
      <c r="M18" s="26"/>
      <c r="N18" s="109"/>
      <c r="O18" s="26"/>
      <c r="P18" s="129"/>
      <c r="Q18" s="142" t="str">
        <f>IFERROR((VLOOKUP(Indata!D18,Emissionsfaktorer!$B$4:$C$70,2,FALSE)*E18)," ")</f>
        <v xml:space="preserve"> </v>
      </c>
      <c r="R18" s="35" t="str">
        <f>IF(OR(K18=Emissionsfaktorer!$T$11,K18=Emissionsfaktorer!$T$12,K18=Emissionsfaktorer!$T$13,Indata!K18=Emissionsfaktorer!$T$14,Indata!K18=Emissionsfaktorer!$T$15,Indata!K18=Emissionsfaktorer!$T$16), VLOOKUP(K18,Emissionsfaktorer!$T$4:$U$16,2,FALSE)*Indata!L18+VLOOKUP(K18,Emissionsfaktorer!$T$4:$U$16,2,FALSE)*E18*L18*Transportdata!$B$51, IFERROR(VLOOKUP(K18,Emissionsfaktorer!$T$4:$U$16,2,FALSE)*Indata!E18/1000*Indata!L18,""))</f>
        <v/>
      </c>
      <c r="S18" s="35" t="str">
        <f>IF(OR(M18=Emissionsfaktorer!$T$11,M18=Emissionsfaktorer!$T$12,M18=Emissionsfaktorer!$T$13,Indata!M18=Emissionsfaktorer!$T$14,Indata!M18=Emissionsfaktorer!$T$15,Indata!M18=Emissionsfaktorer!$T$16), VLOOKUP(M18,Emissionsfaktorer!$T$4:$U$16,2,FALSE)*Indata!N18+VLOOKUP(M18,Emissionsfaktorer!$T$4:$U$16,2,FALSE)*E18*N18*Transportdata!$B$51, IFERROR(VLOOKUP(M18,Emissionsfaktorer!$T$4:$U$16,2,FALSE)*Indata!E18/1000*Indata!N18,""))</f>
        <v/>
      </c>
      <c r="T18" s="35" t="str">
        <f>IF(OR(O18=Emissionsfaktorer!$T$11,O18=Emissionsfaktorer!$T$12,O18=Emissionsfaktorer!$T$13,Indata!O18=Emissionsfaktorer!$T$14,Indata!O18=Emissionsfaktorer!$T$15,Indata!O18=Emissionsfaktorer!$T$16), VLOOKUP(O18,Emissionsfaktorer!$T$4:$U$16,2,FALSE)*Indata!P18+VLOOKUP(O18,Emissionsfaktorer!$T$4:$U$16,2,FALSE)*E18*P18*Transportdata!$B$51, IFERROR(VLOOKUP(O18,Emissionsfaktorer!$T$4:$U$16,2,FALSE)*Indata!E18/1000*Indata!P18,""))</f>
        <v/>
      </c>
      <c r="U18" s="35">
        <f t="shared" si="0"/>
        <v>0</v>
      </c>
      <c r="V18" s="143" t="str">
        <f>IFERROR(IF(G18=Emissionsfaktorer!$Z$77,VLOOKUP(J18,Emissionsfaktorer!$J$4:$K$16,2,FALSE)*H18,VLOOKUP(G18,Emissionsfaktorer!$J$4:$K$16,2,FALSE)*H18*VLOOKUP(J18,Emissionsfaktorer!$F$4:$G$13,2,FALSE))," ")</f>
        <v xml:space="preserve"> </v>
      </c>
    </row>
    <row r="19" spans="2:25" ht="30.75" customHeight="1" x14ac:dyDescent="0.35">
      <c r="B19" s="170"/>
      <c r="C19" s="123"/>
      <c r="D19" s="26"/>
      <c r="E19" s="134"/>
      <c r="F19" s="124" t="str">
        <f>IFERROR(VLOOKUP(D19,Emissionsfaktorer!$B$4:$D$70,3,FALSE)," ")</f>
        <v xml:space="preserve"> </v>
      </c>
      <c r="G19" s="125"/>
      <c r="H19" s="134"/>
      <c r="I19" s="34" t="str">
        <f>IF(G19="Bränsleförbrukning","liter",IFERROR(VLOOKUP(G19,Emissionsfaktorer!$J$4:$M$31,4,FALSE)," "))</f>
        <v xml:space="preserve"> </v>
      </c>
      <c r="J19" s="126"/>
      <c r="K19" s="123"/>
      <c r="L19" s="109"/>
      <c r="M19" s="26"/>
      <c r="N19" s="109"/>
      <c r="O19" s="26"/>
      <c r="P19" s="129"/>
      <c r="Q19" s="142" t="str">
        <f>IFERROR((VLOOKUP(Indata!D19,Emissionsfaktorer!$B$4:$C$70,2,FALSE)*E19)," ")</f>
        <v xml:space="preserve"> </v>
      </c>
      <c r="R19" s="35" t="str">
        <f>IF(OR(K19=Emissionsfaktorer!$T$11,K19=Emissionsfaktorer!$T$12,K19=Emissionsfaktorer!$T$13,Indata!K19=Emissionsfaktorer!$T$14,Indata!K19=Emissionsfaktorer!$T$15,Indata!K19=Emissionsfaktorer!$T$16), VLOOKUP(K19,Emissionsfaktorer!$T$4:$U$16,2,FALSE)*Indata!L19+VLOOKUP(K19,Emissionsfaktorer!$T$4:$U$16,2,FALSE)*E19*L19*Transportdata!$B$51, IFERROR(VLOOKUP(K19,Emissionsfaktorer!$T$4:$U$16,2,FALSE)*Indata!E19/1000*Indata!L19,""))</f>
        <v/>
      </c>
      <c r="S19" s="35" t="str">
        <f>IF(OR(M19=Emissionsfaktorer!$T$11,M19=Emissionsfaktorer!$T$12,M19=Emissionsfaktorer!$T$13,Indata!M19=Emissionsfaktorer!$T$14,Indata!M19=Emissionsfaktorer!$T$15,Indata!M19=Emissionsfaktorer!$T$16), VLOOKUP(M19,Emissionsfaktorer!$T$4:$U$16,2,FALSE)*Indata!N19+VLOOKUP(M19,Emissionsfaktorer!$T$4:$U$16,2,FALSE)*E19*N19*Transportdata!$B$51, IFERROR(VLOOKUP(M19,Emissionsfaktorer!$T$4:$U$16,2,FALSE)*Indata!E19/1000*Indata!N19,""))</f>
        <v/>
      </c>
      <c r="T19" s="35" t="str">
        <f>IF(OR(O19=Emissionsfaktorer!$T$11,O19=Emissionsfaktorer!$T$12,O19=Emissionsfaktorer!$T$13,Indata!O19=Emissionsfaktorer!$T$14,Indata!O19=Emissionsfaktorer!$T$15,Indata!O19=Emissionsfaktorer!$T$16), VLOOKUP(O19,Emissionsfaktorer!$T$4:$U$16,2,FALSE)*Indata!P19+VLOOKUP(O19,Emissionsfaktorer!$T$4:$U$16,2,FALSE)*E19*P19*Transportdata!$B$51, IFERROR(VLOOKUP(O19,Emissionsfaktorer!$T$4:$U$16,2,FALSE)*Indata!E19/1000*Indata!P19,""))</f>
        <v/>
      </c>
      <c r="U19" s="35">
        <f t="shared" si="0"/>
        <v>0</v>
      </c>
      <c r="V19" s="143" t="str">
        <f>IFERROR(IF(G19=Emissionsfaktorer!$Z$77,VLOOKUP(J19,Emissionsfaktorer!$J$4:$K$16,2,FALSE)*H19,VLOOKUP(G19,Emissionsfaktorer!$J$4:$K$16,2,FALSE)*H19*VLOOKUP(J19,Emissionsfaktorer!$F$4:$G$13,2,FALSE))," ")</f>
        <v xml:space="preserve"> </v>
      </c>
    </row>
    <row r="20" spans="2:25" ht="30.75" customHeight="1" x14ac:dyDescent="0.35">
      <c r="B20" s="170"/>
      <c r="C20" s="123"/>
      <c r="D20" s="26"/>
      <c r="E20" s="134"/>
      <c r="F20" s="124" t="str">
        <f>IFERROR(VLOOKUP(D20,Emissionsfaktorer!$B$4:$D$70,3,FALSE)," ")</f>
        <v xml:space="preserve"> </v>
      </c>
      <c r="G20" s="125"/>
      <c r="H20" s="134"/>
      <c r="I20" s="34" t="str">
        <f>IF(G20="Bränsleförbrukning","liter",IFERROR(VLOOKUP(G20,Emissionsfaktorer!$J$4:$M$31,4,FALSE)," "))</f>
        <v xml:space="preserve"> </v>
      </c>
      <c r="J20" s="126"/>
      <c r="K20" s="123"/>
      <c r="L20" s="109"/>
      <c r="M20" s="26"/>
      <c r="N20" s="109"/>
      <c r="O20" s="26"/>
      <c r="P20" s="129"/>
      <c r="Q20" s="142" t="str">
        <f>IFERROR((VLOOKUP(Indata!D20,Emissionsfaktorer!$B$4:$C$70,2,FALSE)*E20)," ")</f>
        <v xml:space="preserve"> </v>
      </c>
      <c r="R20" s="35" t="str">
        <f>IF(OR(K20=Emissionsfaktorer!$T$11,K20=Emissionsfaktorer!$T$12,K20=Emissionsfaktorer!$T$13,Indata!K20=Emissionsfaktorer!$T$14,Indata!K20=Emissionsfaktorer!$T$15,Indata!K20=Emissionsfaktorer!$T$16), VLOOKUP(K20,Emissionsfaktorer!$T$4:$U$16,2,FALSE)*Indata!L20+VLOOKUP(K20,Emissionsfaktorer!$T$4:$U$16,2,FALSE)*E20*L20*Transportdata!$B$51, IFERROR(VLOOKUP(K20,Emissionsfaktorer!$T$4:$U$16,2,FALSE)*Indata!E20/1000*Indata!L20,""))</f>
        <v/>
      </c>
      <c r="S20" s="35" t="str">
        <f>IF(OR(M20=Emissionsfaktorer!$T$11,M20=Emissionsfaktorer!$T$12,M20=Emissionsfaktorer!$T$13,Indata!M20=Emissionsfaktorer!$T$14,Indata!M20=Emissionsfaktorer!$T$15,Indata!M20=Emissionsfaktorer!$T$16), VLOOKUP(M20,Emissionsfaktorer!$T$4:$U$16,2,FALSE)*Indata!N20+VLOOKUP(M20,Emissionsfaktorer!$T$4:$U$16,2,FALSE)*E20*N20*Transportdata!$B$51, IFERROR(VLOOKUP(M20,Emissionsfaktorer!$T$4:$U$16,2,FALSE)*Indata!E20/1000*Indata!N20,""))</f>
        <v/>
      </c>
      <c r="T20" s="35" t="str">
        <f>IF(OR(O20=Emissionsfaktorer!$T$11,O20=Emissionsfaktorer!$T$12,O20=Emissionsfaktorer!$T$13,Indata!O20=Emissionsfaktorer!$T$14,Indata!O20=Emissionsfaktorer!$T$15,Indata!O20=Emissionsfaktorer!$T$16), VLOOKUP(O20,Emissionsfaktorer!$T$4:$U$16,2,FALSE)*Indata!P20+VLOOKUP(O20,Emissionsfaktorer!$T$4:$U$16,2,FALSE)*E20*P20*Transportdata!$B$51, IFERROR(VLOOKUP(O20,Emissionsfaktorer!$T$4:$U$16,2,FALSE)*Indata!E20/1000*Indata!P20,""))</f>
        <v/>
      </c>
      <c r="U20" s="35">
        <f t="shared" si="0"/>
        <v>0</v>
      </c>
      <c r="V20" s="143" t="str">
        <f>IFERROR(IF(G20=Emissionsfaktorer!$Z$77,VLOOKUP(J20,Emissionsfaktorer!$J$4:$K$16,2,FALSE)*H20,VLOOKUP(G20,Emissionsfaktorer!$J$4:$K$16,2,FALSE)*H20*VLOOKUP(J20,Emissionsfaktorer!$F$4:$G$13,2,FALSE))," ")</f>
        <v xml:space="preserve"> </v>
      </c>
    </row>
    <row r="21" spans="2:25" ht="30.75" customHeight="1" x14ac:dyDescent="0.35">
      <c r="B21" s="170"/>
      <c r="C21" s="123"/>
      <c r="D21" s="26"/>
      <c r="E21" s="134"/>
      <c r="F21" s="124" t="str">
        <f>IFERROR(VLOOKUP(D21,Emissionsfaktorer!$B$4:$D$70,3,FALSE)," ")</f>
        <v xml:space="preserve"> </v>
      </c>
      <c r="G21" s="125"/>
      <c r="H21" s="134"/>
      <c r="I21" s="34" t="str">
        <f>IF(G21="Bränsleförbrukning","liter",IFERROR(VLOOKUP(G21,Emissionsfaktorer!$J$4:$M$31,4,FALSE)," "))</f>
        <v xml:space="preserve"> </v>
      </c>
      <c r="J21" s="126"/>
      <c r="K21" s="123"/>
      <c r="L21" s="109"/>
      <c r="M21" s="26"/>
      <c r="N21" s="109"/>
      <c r="O21" s="26"/>
      <c r="P21" s="129"/>
      <c r="Q21" s="142" t="str">
        <f>IFERROR((VLOOKUP(Indata!D21,Emissionsfaktorer!$B$4:$C$70,2,FALSE)*E21)," ")</f>
        <v xml:space="preserve"> </v>
      </c>
      <c r="R21" s="35" t="str">
        <f>IF(OR(K21=Emissionsfaktorer!$T$11,K21=Emissionsfaktorer!$T$12,K21=Emissionsfaktorer!$T$13,Indata!K21=Emissionsfaktorer!$T$14,Indata!K21=Emissionsfaktorer!$T$15,Indata!K21=Emissionsfaktorer!$T$16), VLOOKUP(K21,Emissionsfaktorer!$T$4:$U$16,2,FALSE)*Indata!L21+VLOOKUP(K21,Emissionsfaktorer!$T$4:$U$16,2,FALSE)*E21*L21*Transportdata!$B$51, IFERROR(VLOOKUP(K21,Emissionsfaktorer!$T$4:$U$16,2,FALSE)*Indata!E21/1000*Indata!L21,""))</f>
        <v/>
      </c>
      <c r="S21" s="35" t="str">
        <f>IF(OR(M21=Emissionsfaktorer!$T$11,M21=Emissionsfaktorer!$T$12,M21=Emissionsfaktorer!$T$13,Indata!M21=Emissionsfaktorer!$T$14,Indata!M21=Emissionsfaktorer!$T$15,Indata!M21=Emissionsfaktorer!$T$16), VLOOKUP(M21,Emissionsfaktorer!$T$4:$U$16,2,FALSE)*Indata!N21+VLOOKUP(M21,Emissionsfaktorer!$T$4:$U$16,2,FALSE)*E21*N21*Transportdata!$B$51, IFERROR(VLOOKUP(M21,Emissionsfaktorer!$T$4:$U$16,2,FALSE)*Indata!E21/1000*Indata!N21,""))</f>
        <v/>
      </c>
      <c r="T21" s="35" t="str">
        <f>IF(OR(O21=Emissionsfaktorer!$T$11,O21=Emissionsfaktorer!$T$12,O21=Emissionsfaktorer!$T$13,Indata!O21=Emissionsfaktorer!$T$14,Indata!O21=Emissionsfaktorer!$T$15,Indata!O21=Emissionsfaktorer!$T$16), VLOOKUP(O21,Emissionsfaktorer!$T$4:$U$16,2,FALSE)*Indata!P21+VLOOKUP(O21,Emissionsfaktorer!$T$4:$U$16,2,FALSE)*E21*P21*Transportdata!$B$51, IFERROR(VLOOKUP(O21,Emissionsfaktorer!$T$4:$U$16,2,FALSE)*Indata!E21/1000*Indata!P21,""))</f>
        <v/>
      </c>
      <c r="U21" s="35">
        <f t="shared" si="0"/>
        <v>0</v>
      </c>
      <c r="V21" s="143" t="str">
        <f>IFERROR(IF(G21=Emissionsfaktorer!$Z$77,VLOOKUP(J21,Emissionsfaktorer!$J$4:$K$16,2,FALSE)*H21,VLOOKUP(G21,Emissionsfaktorer!$J$4:$K$16,2,FALSE)*H21*VLOOKUP(J21,Emissionsfaktorer!$F$4:$G$13,2,FALSE))," ")</f>
        <v xml:space="preserve"> </v>
      </c>
    </row>
    <row r="22" spans="2:25" ht="30.75" customHeight="1" x14ac:dyDescent="0.35">
      <c r="B22" s="170"/>
      <c r="C22" s="123"/>
      <c r="D22" s="26"/>
      <c r="E22" s="134"/>
      <c r="F22" s="124" t="str">
        <f>IFERROR(VLOOKUP(D22,Emissionsfaktorer!$B$4:$D$70,3,FALSE)," ")</f>
        <v xml:space="preserve"> </v>
      </c>
      <c r="G22" s="125"/>
      <c r="H22" s="134"/>
      <c r="I22" s="34" t="str">
        <f>IF(G22="Bränsleförbrukning","liter",IFERROR(VLOOKUP(G22,Emissionsfaktorer!$J$4:$M$31,4,FALSE)," "))</f>
        <v xml:space="preserve"> </v>
      </c>
      <c r="J22" s="126"/>
      <c r="K22" s="123"/>
      <c r="L22" s="109"/>
      <c r="M22" s="26"/>
      <c r="N22" s="109"/>
      <c r="O22" s="26"/>
      <c r="P22" s="129"/>
      <c r="Q22" s="142" t="str">
        <f>IFERROR((VLOOKUP(Indata!D22,Emissionsfaktorer!$B$4:$C$70,2,FALSE)*E22)," ")</f>
        <v xml:space="preserve"> </v>
      </c>
      <c r="R22" s="35" t="str">
        <f>IF(OR(K22=Emissionsfaktorer!$T$11,K22=Emissionsfaktorer!$T$12,K22=Emissionsfaktorer!$T$13,Indata!K22=Emissionsfaktorer!$T$14,Indata!K22=Emissionsfaktorer!$T$15,Indata!K22=Emissionsfaktorer!$T$16), VLOOKUP(K22,Emissionsfaktorer!$T$4:$U$16,2,FALSE)*Indata!L22+VLOOKUP(K22,Emissionsfaktorer!$T$4:$U$16,2,FALSE)*E22*L22*Transportdata!$B$51, IFERROR(VLOOKUP(K22,Emissionsfaktorer!$T$4:$U$16,2,FALSE)*Indata!E22/1000*Indata!L22,""))</f>
        <v/>
      </c>
      <c r="S22" s="35" t="str">
        <f>IF(OR(M22=Emissionsfaktorer!$T$11,M22=Emissionsfaktorer!$T$12,M22=Emissionsfaktorer!$T$13,Indata!M22=Emissionsfaktorer!$T$14,Indata!M22=Emissionsfaktorer!$T$15,Indata!M22=Emissionsfaktorer!$T$16), VLOOKUP(M22,Emissionsfaktorer!$T$4:$U$16,2,FALSE)*Indata!N22+VLOOKUP(M22,Emissionsfaktorer!$T$4:$U$16,2,FALSE)*E22*N22*Transportdata!$B$51, IFERROR(VLOOKUP(M22,Emissionsfaktorer!$T$4:$U$16,2,FALSE)*Indata!E22/1000*Indata!N22,""))</f>
        <v/>
      </c>
      <c r="T22" s="35" t="str">
        <f>IF(OR(O22=Emissionsfaktorer!$T$11,O22=Emissionsfaktorer!$T$12,O22=Emissionsfaktorer!$T$13,Indata!O22=Emissionsfaktorer!$T$14,Indata!O22=Emissionsfaktorer!$T$15,Indata!O22=Emissionsfaktorer!$T$16), VLOOKUP(O22,Emissionsfaktorer!$T$4:$U$16,2,FALSE)*Indata!P22+VLOOKUP(O22,Emissionsfaktorer!$T$4:$U$16,2,FALSE)*E22*P22*Transportdata!$B$51, IFERROR(VLOOKUP(O22,Emissionsfaktorer!$T$4:$U$16,2,FALSE)*Indata!E22/1000*Indata!P22,""))</f>
        <v/>
      </c>
      <c r="U22" s="35">
        <f t="shared" si="0"/>
        <v>0</v>
      </c>
      <c r="V22" s="143" t="str">
        <f>IFERROR(IF(G22=Emissionsfaktorer!$Z$77,VLOOKUP(J22,Emissionsfaktorer!$J$4:$K$16,2,FALSE)*H22,VLOOKUP(G22,Emissionsfaktorer!$J$4:$K$16,2,FALSE)*H22*VLOOKUP(J22,Emissionsfaktorer!$F$4:$G$13,2,FALSE))," ")</f>
        <v xml:space="preserve"> </v>
      </c>
    </row>
    <row r="23" spans="2:25" ht="30.75" customHeight="1" x14ac:dyDescent="0.35">
      <c r="B23" s="170"/>
      <c r="C23" s="123"/>
      <c r="D23" s="26"/>
      <c r="E23" s="134"/>
      <c r="F23" s="124" t="str">
        <f>IFERROR(VLOOKUP(D23,Emissionsfaktorer!$B$4:$D$70,3,FALSE)," ")</f>
        <v xml:space="preserve"> </v>
      </c>
      <c r="G23" s="125"/>
      <c r="H23" s="134"/>
      <c r="I23" s="34" t="str">
        <f>IF(G23="Bränsleförbrukning","liter",IFERROR(VLOOKUP(G23,Emissionsfaktorer!$J$4:$M$31,4,FALSE)," "))</f>
        <v xml:space="preserve"> </v>
      </c>
      <c r="J23" s="126"/>
      <c r="K23" s="123"/>
      <c r="L23" s="109"/>
      <c r="M23" s="26"/>
      <c r="N23" s="109"/>
      <c r="O23" s="26"/>
      <c r="P23" s="129"/>
      <c r="Q23" s="142" t="str">
        <f>IFERROR((VLOOKUP(Indata!D23,Emissionsfaktorer!$B$4:$C$70,2,FALSE)*E23)," ")</f>
        <v xml:space="preserve"> </v>
      </c>
      <c r="R23" s="35" t="str">
        <f>IF(OR(K23=Emissionsfaktorer!$T$11,K23=Emissionsfaktorer!$T$12,K23=Emissionsfaktorer!$T$13,Indata!K23=Emissionsfaktorer!$T$14,Indata!K23=Emissionsfaktorer!$T$15,Indata!K23=Emissionsfaktorer!$T$16), VLOOKUP(K23,Emissionsfaktorer!$T$4:$U$16,2,FALSE)*Indata!L23+VLOOKUP(K23,Emissionsfaktorer!$T$4:$U$16,2,FALSE)*E23*L23*Transportdata!$B$51, IFERROR(VLOOKUP(K23,Emissionsfaktorer!$T$4:$U$16,2,FALSE)*Indata!E23/1000*Indata!L23,""))</f>
        <v/>
      </c>
      <c r="S23" s="35" t="str">
        <f>IF(OR(M23=Emissionsfaktorer!$T$11,M23=Emissionsfaktorer!$T$12,M23=Emissionsfaktorer!$T$13,Indata!M23=Emissionsfaktorer!$T$14,Indata!M23=Emissionsfaktorer!$T$15,Indata!M23=Emissionsfaktorer!$T$16), VLOOKUP(M23,Emissionsfaktorer!$T$4:$U$16,2,FALSE)*Indata!N23+VLOOKUP(M23,Emissionsfaktorer!$T$4:$U$16,2,FALSE)*E23*N23*Transportdata!$B$51, IFERROR(VLOOKUP(M23,Emissionsfaktorer!$T$4:$U$16,2,FALSE)*Indata!E23/1000*Indata!N23,""))</f>
        <v/>
      </c>
      <c r="T23" s="35" t="str">
        <f>IF(OR(O23=Emissionsfaktorer!$T$11,O23=Emissionsfaktorer!$T$12,O23=Emissionsfaktorer!$T$13,Indata!O23=Emissionsfaktorer!$T$14,Indata!O23=Emissionsfaktorer!$T$15,Indata!O23=Emissionsfaktorer!$T$16), VLOOKUP(O23,Emissionsfaktorer!$T$4:$U$16,2,FALSE)*Indata!P23+VLOOKUP(O23,Emissionsfaktorer!$T$4:$U$16,2,FALSE)*E23*P23*Transportdata!$B$51, IFERROR(VLOOKUP(O23,Emissionsfaktorer!$T$4:$U$16,2,FALSE)*Indata!E23/1000*Indata!P23,""))</f>
        <v/>
      </c>
      <c r="U23" s="35">
        <f t="shared" si="0"/>
        <v>0</v>
      </c>
      <c r="V23" s="143" t="str">
        <f>IFERROR(IF(G23=Emissionsfaktorer!$Z$77,VLOOKUP(J23,Emissionsfaktorer!$J$4:$K$16,2,FALSE)*H23,VLOOKUP(G23,Emissionsfaktorer!$J$4:$K$16,2,FALSE)*H23*VLOOKUP(J23,Emissionsfaktorer!$F$4:$G$13,2,FALSE))," ")</f>
        <v xml:space="preserve"> </v>
      </c>
    </row>
    <row r="24" spans="2:25" ht="30.75" customHeight="1" x14ac:dyDescent="0.35">
      <c r="B24" s="170"/>
      <c r="C24" s="123"/>
      <c r="D24" s="26"/>
      <c r="E24" s="134"/>
      <c r="F24" s="124" t="str">
        <f>IFERROR(VLOOKUP(D24,Emissionsfaktorer!$B$4:$D$70,3,FALSE)," ")</f>
        <v xml:space="preserve"> </v>
      </c>
      <c r="G24" s="125"/>
      <c r="H24" s="134"/>
      <c r="I24" s="34" t="str">
        <f>IF(G24="Bränsleförbrukning","liter",IFERROR(VLOOKUP(G24,Emissionsfaktorer!$J$4:$M$31,4,FALSE)," "))</f>
        <v xml:space="preserve"> </v>
      </c>
      <c r="J24" s="126"/>
      <c r="K24" s="123"/>
      <c r="L24" s="109"/>
      <c r="M24" s="26"/>
      <c r="N24" s="109"/>
      <c r="O24" s="26"/>
      <c r="P24" s="129"/>
      <c r="Q24" s="142" t="str">
        <f>IFERROR((VLOOKUP(Indata!D24,Emissionsfaktorer!$B$4:$C$70,2,FALSE)*E24)," ")</f>
        <v xml:space="preserve"> </v>
      </c>
      <c r="R24" s="35" t="str">
        <f>IF(OR(K24=Emissionsfaktorer!$T$11,K24=Emissionsfaktorer!$T$12,K24=Emissionsfaktorer!$T$13,Indata!K24=Emissionsfaktorer!$T$14,Indata!K24=Emissionsfaktorer!$T$15,Indata!K24=Emissionsfaktorer!$T$16), VLOOKUP(K24,Emissionsfaktorer!$T$4:$U$16,2,FALSE)*Indata!L24+VLOOKUP(K24,Emissionsfaktorer!$T$4:$U$16,2,FALSE)*E24*L24*Transportdata!$B$51, IFERROR(VLOOKUP(K24,Emissionsfaktorer!$T$4:$U$16,2,FALSE)*Indata!E24/1000*Indata!L24,""))</f>
        <v/>
      </c>
      <c r="S24" s="35" t="str">
        <f>IF(OR(M24=Emissionsfaktorer!$T$11,M24=Emissionsfaktorer!$T$12,M24=Emissionsfaktorer!$T$13,Indata!M24=Emissionsfaktorer!$T$14,Indata!M24=Emissionsfaktorer!$T$15,Indata!M24=Emissionsfaktorer!$T$16), VLOOKUP(M24,Emissionsfaktorer!$T$4:$U$16,2,FALSE)*Indata!N24+VLOOKUP(M24,Emissionsfaktorer!$T$4:$U$16,2,FALSE)*E24*N24*Transportdata!$B$51, IFERROR(VLOOKUP(M24,Emissionsfaktorer!$T$4:$U$16,2,FALSE)*Indata!E24/1000*Indata!N24,""))</f>
        <v/>
      </c>
      <c r="T24" s="35" t="str">
        <f>IF(OR(O24=Emissionsfaktorer!$T$11,O24=Emissionsfaktorer!$T$12,O24=Emissionsfaktorer!$T$13,Indata!O24=Emissionsfaktorer!$T$14,Indata!O24=Emissionsfaktorer!$T$15,Indata!O24=Emissionsfaktorer!$T$16), VLOOKUP(O24,Emissionsfaktorer!$T$4:$U$16,2,FALSE)*Indata!P24+VLOOKUP(O24,Emissionsfaktorer!$T$4:$U$16,2,FALSE)*E24*P24*Transportdata!$B$51, IFERROR(VLOOKUP(O24,Emissionsfaktorer!$T$4:$U$16,2,FALSE)*Indata!E24/1000*Indata!P24,""))</f>
        <v/>
      </c>
      <c r="U24" s="35">
        <f t="shared" si="0"/>
        <v>0</v>
      </c>
      <c r="V24" s="143" t="str">
        <f>IFERROR(IF(G24=Emissionsfaktorer!$Z$77,VLOOKUP(J24,Emissionsfaktorer!$J$4:$K$16,2,FALSE)*H24,VLOOKUP(G24,Emissionsfaktorer!$J$4:$K$16,2,FALSE)*H24*VLOOKUP(J24,Emissionsfaktorer!$F$4:$G$13,2,FALSE))," ")</f>
        <v xml:space="preserve"> </v>
      </c>
    </row>
    <row r="25" spans="2:25" ht="30.75" customHeight="1" x14ac:dyDescent="0.35">
      <c r="B25" s="170"/>
      <c r="C25" s="123"/>
      <c r="D25" s="26"/>
      <c r="E25" s="134"/>
      <c r="F25" s="124" t="str">
        <f>IFERROR(VLOOKUP(D25,Emissionsfaktorer!$B$4:$D$70,3,FALSE)," ")</f>
        <v xml:space="preserve"> </v>
      </c>
      <c r="G25" s="125"/>
      <c r="H25" s="134"/>
      <c r="I25" s="34" t="str">
        <f>IF(G25="Bränsleförbrukning","liter",IFERROR(VLOOKUP(G25,Emissionsfaktorer!$J$4:$M$31,4,FALSE)," "))</f>
        <v xml:space="preserve"> </v>
      </c>
      <c r="J25" s="126"/>
      <c r="K25" s="123"/>
      <c r="L25" s="109"/>
      <c r="M25" s="26"/>
      <c r="N25" s="109"/>
      <c r="O25" s="26"/>
      <c r="P25" s="129"/>
      <c r="Q25" s="142" t="str">
        <f>IFERROR((VLOOKUP(Indata!D25,Emissionsfaktorer!$B$4:$C$70,2,FALSE)*E25)," ")</f>
        <v xml:space="preserve"> </v>
      </c>
      <c r="R25" s="35" t="str">
        <f>IF(OR(K25=Emissionsfaktorer!$T$11,K25=Emissionsfaktorer!$T$12,K25=Emissionsfaktorer!$T$13,Indata!K25=Emissionsfaktorer!$T$14,Indata!K25=Emissionsfaktorer!$T$15,Indata!K25=Emissionsfaktorer!$T$16), VLOOKUP(K25,Emissionsfaktorer!$T$4:$U$16,2,FALSE)*Indata!L25+VLOOKUP(K25,Emissionsfaktorer!$T$4:$U$16,2,FALSE)*E25*L25*Transportdata!$B$51, IFERROR(VLOOKUP(K25,Emissionsfaktorer!$T$4:$U$16,2,FALSE)*Indata!E25/1000*Indata!L25,""))</f>
        <v/>
      </c>
      <c r="S25" s="35" t="str">
        <f>IF(OR(M25=Emissionsfaktorer!$T$11,M25=Emissionsfaktorer!$T$12,M25=Emissionsfaktorer!$T$13,Indata!M25=Emissionsfaktorer!$T$14,Indata!M25=Emissionsfaktorer!$T$15,Indata!M25=Emissionsfaktorer!$T$16), VLOOKUP(M25,Emissionsfaktorer!$T$4:$U$16,2,FALSE)*Indata!N25+VLOOKUP(M25,Emissionsfaktorer!$T$4:$U$16,2,FALSE)*E25*N25*Transportdata!$B$51, IFERROR(VLOOKUP(M25,Emissionsfaktorer!$T$4:$U$16,2,FALSE)*Indata!E25/1000*Indata!N25,""))</f>
        <v/>
      </c>
      <c r="T25" s="35" t="str">
        <f>IF(OR(O25=Emissionsfaktorer!$T$11,O25=Emissionsfaktorer!$T$12,O25=Emissionsfaktorer!$T$13,Indata!O25=Emissionsfaktorer!$T$14,Indata!O25=Emissionsfaktorer!$T$15,Indata!O25=Emissionsfaktorer!$T$16), VLOOKUP(O25,Emissionsfaktorer!$T$4:$U$16,2,FALSE)*Indata!P25+VLOOKUP(O25,Emissionsfaktorer!$T$4:$U$16,2,FALSE)*E25*P25*Transportdata!$B$51, IFERROR(VLOOKUP(O25,Emissionsfaktorer!$T$4:$U$16,2,FALSE)*Indata!E25/1000*Indata!P25,""))</f>
        <v/>
      </c>
      <c r="U25" s="35">
        <f t="shared" si="0"/>
        <v>0</v>
      </c>
      <c r="V25" s="143" t="str">
        <f>IFERROR(IF(G25=Emissionsfaktorer!$Z$77,VLOOKUP(J25,Emissionsfaktorer!$J$4:$K$16,2,FALSE)*H25,VLOOKUP(G25,Emissionsfaktorer!$J$4:$K$16,2,FALSE)*H25*VLOOKUP(J25,Emissionsfaktorer!$F$4:$G$13,2,FALSE))," ")</f>
        <v xml:space="preserve"> </v>
      </c>
    </row>
    <row r="26" spans="2:25" ht="30.75" customHeight="1" x14ac:dyDescent="0.35">
      <c r="B26" s="170"/>
      <c r="C26" s="123"/>
      <c r="D26" s="26"/>
      <c r="E26" s="134"/>
      <c r="F26" s="124" t="str">
        <f>IFERROR(VLOOKUP(D26,Emissionsfaktorer!$B$4:$D$70,3,FALSE)," ")</f>
        <v xml:space="preserve"> </v>
      </c>
      <c r="G26" s="125"/>
      <c r="H26" s="134"/>
      <c r="I26" s="34" t="str">
        <f>IF(G26="Bränsleförbrukning","liter",IFERROR(VLOOKUP(G26,Emissionsfaktorer!$J$4:$M$31,4,FALSE)," "))</f>
        <v xml:space="preserve"> </v>
      </c>
      <c r="J26" s="126"/>
      <c r="K26" s="123"/>
      <c r="L26" s="109"/>
      <c r="M26" s="26"/>
      <c r="N26" s="109"/>
      <c r="O26" s="26"/>
      <c r="P26" s="129"/>
      <c r="Q26" s="142" t="str">
        <f>IFERROR((VLOOKUP(Indata!D26,Emissionsfaktorer!$B$4:$C$70,2,FALSE)*E26)," ")</f>
        <v xml:space="preserve"> </v>
      </c>
      <c r="R26" s="35" t="str">
        <f>IF(OR(K26=Emissionsfaktorer!$T$11,K26=Emissionsfaktorer!$T$12,K26=Emissionsfaktorer!$T$13,Indata!K26=Emissionsfaktorer!$T$14,Indata!K26=Emissionsfaktorer!$T$15,Indata!K26=Emissionsfaktorer!$T$16), VLOOKUP(K26,Emissionsfaktorer!$T$4:$U$16,2,FALSE)*Indata!L26+VLOOKUP(K26,Emissionsfaktorer!$T$4:$U$16,2,FALSE)*E26*L26*Transportdata!$B$51, IFERROR(VLOOKUP(K26,Emissionsfaktorer!$T$4:$U$16,2,FALSE)*Indata!E26/1000*Indata!L26,""))</f>
        <v/>
      </c>
      <c r="S26" s="35" t="str">
        <f>IF(OR(M26=Emissionsfaktorer!$T$11,M26=Emissionsfaktorer!$T$12,M26=Emissionsfaktorer!$T$13,Indata!M26=Emissionsfaktorer!$T$14,Indata!M26=Emissionsfaktorer!$T$15,Indata!M26=Emissionsfaktorer!$T$16), VLOOKUP(M26,Emissionsfaktorer!$T$4:$U$16,2,FALSE)*Indata!N26+VLOOKUP(M26,Emissionsfaktorer!$T$4:$U$16,2,FALSE)*E26*N26*Transportdata!$B$51, IFERROR(VLOOKUP(M26,Emissionsfaktorer!$T$4:$U$16,2,FALSE)*Indata!E26/1000*Indata!N26,""))</f>
        <v/>
      </c>
      <c r="T26" s="35" t="str">
        <f>IF(OR(O26=Emissionsfaktorer!$T$11,O26=Emissionsfaktorer!$T$12,O26=Emissionsfaktorer!$T$13,Indata!O26=Emissionsfaktorer!$T$14,Indata!O26=Emissionsfaktorer!$T$15,Indata!O26=Emissionsfaktorer!$T$16), VLOOKUP(O26,Emissionsfaktorer!$T$4:$U$16,2,FALSE)*Indata!P26+VLOOKUP(O26,Emissionsfaktorer!$T$4:$U$16,2,FALSE)*E26*P26*Transportdata!$B$51, IFERROR(VLOOKUP(O26,Emissionsfaktorer!$T$4:$U$16,2,FALSE)*Indata!E26/1000*Indata!P26,""))</f>
        <v/>
      </c>
      <c r="U26" s="35">
        <f t="shared" si="0"/>
        <v>0</v>
      </c>
      <c r="V26" s="143" t="str">
        <f>IFERROR(IF(G26=Emissionsfaktorer!$Z$77,VLOOKUP(J26,Emissionsfaktorer!$J$4:$K$16,2,FALSE)*H26,VLOOKUP(G26,Emissionsfaktorer!$J$4:$K$16,2,FALSE)*H26*VLOOKUP(J26,Emissionsfaktorer!$F$4:$G$13,2,FALSE))," ")</f>
        <v xml:space="preserve"> </v>
      </c>
    </row>
    <row r="27" spans="2:25" ht="30.75" customHeight="1" thickBot="1" x14ac:dyDescent="0.4">
      <c r="B27" s="171"/>
      <c r="C27" s="118"/>
      <c r="D27" s="136"/>
      <c r="E27" s="137"/>
      <c r="F27" s="138" t="str">
        <f>IFERROR(VLOOKUP(D27,Emissionsfaktorer!$B$4:$D$70,3,FALSE)," ")</f>
        <v xml:space="preserve"> </v>
      </c>
      <c r="G27" s="127"/>
      <c r="H27" s="137"/>
      <c r="I27" s="128" t="str">
        <f>IF(G27="Bränsleförbrukning","liter",IFERROR(VLOOKUP(G27,Emissionsfaktorer!$J$4:$M$31,4,FALSE)," "))</f>
        <v xml:space="preserve"> </v>
      </c>
      <c r="J27" s="139"/>
      <c r="K27" s="118"/>
      <c r="L27" s="140"/>
      <c r="M27" s="136"/>
      <c r="N27" s="140"/>
      <c r="O27" s="136"/>
      <c r="P27" s="141"/>
      <c r="Q27" s="144" t="str">
        <f>IFERROR((VLOOKUP(Indata!D27,Emissionsfaktorer!$B$4:$C$70,2,FALSE)*E27)," ")</f>
        <v xml:space="preserve"> </v>
      </c>
      <c r="R27" s="145" t="str">
        <f>IF(OR(K27=Emissionsfaktorer!$T$11,K27=Emissionsfaktorer!$T$12,K27=Emissionsfaktorer!$T$13,Indata!K27=Emissionsfaktorer!$T$14,Indata!K27=Emissionsfaktorer!$T$15,Indata!K27=Emissionsfaktorer!$T$16), VLOOKUP(K27,Emissionsfaktorer!$T$4:$U$16,2,FALSE)*Indata!L27+VLOOKUP(K27,Emissionsfaktorer!$T$4:$U$16,2,FALSE)*E27*L27*Transportdata!$B$51, IFERROR(VLOOKUP(K27,Emissionsfaktorer!$T$4:$U$16,2,FALSE)*Indata!E27/1000*Indata!L27,""))</f>
        <v/>
      </c>
      <c r="S27" s="145" t="str">
        <f>IF(OR(M27=Emissionsfaktorer!$T$11,M27=Emissionsfaktorer!$T$12,M27=Emissionsfaktorer!$T$13,Indata!M27=Emissionsfaktorer!$T$14,Indata!M27=Emissionsfaktorer!$T$15,Indata!M27=Emissionsfaktorer!$T$16), VLOOKUP(M27,Emissionsfaktorer!$T$4:$U$16,2,FALSE)*Indata!N27+VLOOKUP(M27,Emissionsfaktorer!$T$4:$U$16,2,FALSE)*E27*N27*Transportdata!$B$51, IFERROR(VLOOKUP(M27,Emissionsfaktorer!$T$4:$U$16,2,FALSE)*Indata!E27/1000*Indata!N27,""))</f>
        <v/>
      </c>
      <c r="T27" s="145" t="str">
        <f>IF(OR(O27=Emissionsfaktorer!$T$11,O27=Emissionsfaktorer!$T$12,O27=Emissionsfaktorer!$T$13,Indata!O27=Emissionsfaktorer!$T$14,Indata!O27=Emissionsfaktorer!$T$15,Indata!O27=Emissionsfaktorer!$T$16), VLOOKUP(O27,Emissionsfaktorer!$T$4:$U$16,2,FALSE)*Indata!P27+VLOOKUP(O27,Emissionsfaktorer!$T$4:$U$16,2,FALSE)*E27*P27*Transportdata!$B$51, IFERROR(VLOOKUP(O27,Emissionsfaktorer!$T$4:$U$16,2,FALSE)*Indata!E27/1000*Indata!P27,""))</f>
        <v/>
      </c>
      <c r="U27" s="145">
        <f t="shared" si="0"/>
        <v>0</v>
      </c>
      <c r="V27" s="146" t="str">
        <f>IFERROR(IF(G27=Emissionsfaktorer!$Z$77,VLOOKUP(J27,Emissionsfaktorer!$J$4:$K$16,2,FALSE)*H27,VLOOKUP(G27,Emissionsfaktorer!$J$4:$K$16,2,FALSE)*H27*VLOOKUP(J27,Emissionsfaktorer!$F$4:$G$13,2,FALSE))," ")</f>
        <v xml:space="preserve"> </v>
      </c>
      <c r="Y27" s="30"/>
    </row>
    <row r="28" spans="2:25" ht="20.149999999999999" customHeight="1" x14ac:dyDescent="0.35">
      <c r="C28" s="31"/>
      <c r="D28" s="31"/>
      <c r="E28" s="31"/>
      <c r="F28" s="31"/>
      <c r="G28" s="31"/>
      <c r="H28" s="31"/>
      <c r="I28" s="31"/>
      <c r="J28" s="31"/>
      <c r="K28" s="31"/>
      <c r="L28" s="31"/>
      <c r="M28" s="31"/>
      <c r="N28" s="31"/>
      <c r="O28" s="31"/>
      <c r="P28" s="31"/>
      <c r="Y28" s="30"/>
    </row>
    <row r="29" spans="2:25" ht="20.149999999999999" customHeight="1" thickBot="1" x14ac:dyDescent="0.4">
      <c r="C29" s="31"/>
      <c r="D29" s="31"/>
      <c r="E29" s="31"/>
      <c r="F29" s="31"/>
      <c r="G29" s="31"/>
      <c r="H29" s="31"/>
      <c r="I29" s="31"/>
      <c r="J29" s="31"/>
      <c r="K29" s="31"/>
      <c r="L29" s="31"/>
      <c r="M29" s="31"/>
      <c r="N29" s="31"/>
      <c r="O29" s="31"/>
      <c r="P29" s="31"/>
      <c r="Q29" s="31"/>
    </row>
    <row r="30" spans="2:25" ht="25" customHeight="1" x14ac:dyDescent="0.35">
      <c r="C30" s="153" t="s">
        <v>26</v>
      </c>
      <c r="D30" s="154"/>
      <c r="E30" s="153" t="s">
        <v>27</v>
      </c>
      <c r="F30" s="154"/>
      <c r="G30" s="153" t="s">
        <v>28</v>
      </c>
      <c r="H30" s="154"/>
      <c r="I30" s="31"/>
      <c r="J30" s="31"/>
      <c r="K30" s="31"/>
      <c r="L30" s="31"/>
      <c r="M30" s="31"/>
      <c r="N30" s="31"/>
      <c r="O30" s="31"/>
      <c r="P30" s="31"/>
      <c r="Q30" s="149" t="s">
        <v>29</v>
      </c>
      <c r="R30" s="149" t="s">
        <v>30</v>
      </c>
      <c r="S30" s="149" t="s">
        <v>31</v>
      </c>
    </row>
    <row r="31" spans="2:25" ht="42" customHeight="1" x14ac:dyDescent="0.45">
      <c r="B31" s="165" t="s">
        <v>32</v>
      </c>
      <c r="C31" s="113" t="s">
        <v>15</v>
      </c>
      <c r="D31" s="114" t="s">
        <v>33</v>
      </c>
      <c r="E31" s="113" t="s">
        <v>15</v>
      </c>
      <c r="F31" s="114" t="s">
        <v>33</v>
      </c>
      <c r="G31" s="113" t="s">
        <v>15</v>
      </c>
      <c r="H31" s="114" t="s">
        <v>33</v>
      </c>
      <c r="I31" s="31"/>
      <c r="J31" s="31"/>
      <c r="K31" s="31"/>
      <c r="L31" s="31"/>
      <c r="M31" s="31"/>
      <c r="N31" s="31"/>
      <c r="O31" s="31"/>
      <c r="P31" s="31"/>
      <c r="Q31" s="149"/>
      <c r="R31" s="149"/>
      <c r="S31" s="149"/>
    </row>
    <row r="32" spans="2:25" ht="66" customHeight="1" thickBot="1" x14ac:dyDescent="0.4">
      <c r="B32" s="166"/>
      <c r="C32" s="115"/>
      <c r="D32" s="116"/>
      <c r="E32" s="115"/>
      <c r="F32" s="116"/>
      <c r="G32" s="115"/>
      <c r="H32" s="117"/>
      <c r="I32" s="31"/>
      <c r="J32" s="31"/>
      <c r="K32" s="31"/>
      <c r="L32" s="31"/>
      <c r="M32" s="31"/>
      <c r="N32" s="31"/>
      <c r="O32" s="31"/>
      <c r="P32" s="31"/>
      <c r="Q32" s="147">
        <f>IF($D$5&gt;0,(IF(OR(C32=Emissionsfaktorer!$T$11,C32=Emissionsfaktorer!$T$12,C32=Emissionsfaktorer!$T$13,Indata!C32=Emissionsfaktorer!$T$14,Indata!C32=Emissionsfaktorer!$T$15,Indata!C32=Emissionsfaktorer!$T$16),VLOOKUP(C32,Emissionsfaktorer!$T$4:$U$16,2,FALSE)*($D$5*(1+Transportdata!$B$51)), IFERROR(VLOOKUP(C32,Emissionsfaktorer!$T$4:$U$16,2,FALSE)*$D$5/1000*Indata!D32,""))),0)</f>
        <v>0</v>
      </c>
      <c r="R32" s="147">
        <f>IF($D$5&gt;0,(IF(OR(E32=Emissionsfaktorer!$T$11,E32=Emissionsfaktorer!$T$12,E32=Emissionsfaktorer!$T$13,Indata!E32=Emissionsfaktorer!$T$14,Indata!E32=Emissionsfaktorer!$T$15,Indata!E32=Emissionsfaktorer!$T$16),VLOOKUP(E32,Emissionsfaktorer!$T$4:$U$16,2,FALSE)*($D$5*(1+Transportdata!$B$51)), IFERROR(VLOOKUP(E32,Emissionsfaktorer!$T$4:$U$16,2,FALSE)*$D$5/1000*Indata!F32,""))),0)</f>
        <v>0</v>
      </c>
      <c r="S32" s="147">
        <f>IF($D$5&gt;0,(IF(OR(G32=Emissionsfaktorer!$T$11,G32=Emissionsfaktorer!$T$12,G32=Emissionsfaktorer!$T$13,Indata!G32=Emissionsfaktorer!$T$14,Indata!G32=Emissionsfaktorer!$T$15,Indata!G32=Emissionsfaktorer!$T$16),VLOOKUP(G32,Emissionsfaktorer!$T$4:$U$16,2,FALSE)*($D$5*(1+Transportdata!$B$51)), IFERROR(VLOOKUP(G32,Emissionsfaktorer!$T$4:$U$16,2,FALSE)*$D$5/1000*Indata!H32,""))),0)</f>
        <v>0</v>
      </c>
      <c r="U32" s="147">
        <f>IF($D$5&gt;0,(IF(OR(G32=Emissionsfaktorer!$T$11,G32=Emissionsfaktorer!$T$12,G32=Emissionsfaktorer!$T$13,Indata!G32=Emissionsfaktorer!$T$14,Indata!G32=Emissionsfaktorer!$T$15,Indata!G32=Emissionsfaktorer!$T$16),VLOOKUP(G32,Emissionsfaktorer!$T$4:$U$16,2,FALSE)*($D$5*(1+Transportdata!$B$51)), IFERROR(VLOOKUP(G32,Emissionsfaktorer!$T$4:$U$16,2,FALSE)*$D$5/1000*Indata!H32,""))),0)</f>
        <v>0</v>
      </c>
    </row>
    <row r="33" spans="2:19" ht="25" customHeight="1" thickBot="1" x14ac:dyDescent="0.4">
      <c r="I33" s="31"/>
      <c r="J33" s="31"/>
      <c r="K33" s="31"/>
      <c r="L33" s="31"/>
      <c r="M33" s="31"/>
      <c r="N33" s="31"/>
      <c r="O33" s="31"/>
      <c r="P33" s="31"/>
    </row>
    <row r="34" spans="2:19" ht="25" customHeight="1" x14ac:dyDescent="0.35">
      <c r="C34" s="153" t="s">
        <v>26</v>
      </c>
      <c r="D34" s="154"/>
      <c r="E34" s="153" t="s">
        <v>27</v>
      </c>
      <c r="F34" s="154"/>
      <c r="G34" s="153" t="s">
        <v>28</v>
      </c>
      <c r="H34" s="154"/>
      <c r="I34" s="31"/>
      <c r="J34" s="31"/>
      <c r="K34" s="31"/>
      <c r="L34" s="31"/>
      <c r="M34" s="31"/>
      <c r="N34" s="31"/>
      <c r="O34" s="31"/>
      <c r="P34" s="31"/>
      <c r="Q34" s="149" t="s">
        <v>34</v>
      </c>
      <c r="R34" s="149" t="s">
        <v>35</v>
      </c>
      <c r="S34" s="149" t="s">
        <v>36</v>
      </c>
    </row>
    <row r="35" spans="2:19" ht="42" customHeight="1" x14ac:dyDescent="0.45">
      <c r="B35" s="165" t="s">
        <v>37</v>
      </c>
      <c r="C35" s="113" t="s">
        <v>15</v>
      </c>
      <c r="D35" s="114" t="s">
        <v>33</v>
      </c>
      <c r="E35" s="113" t="s">
        <v>15</v>
      </c>
      <c r="F35" s="114" t="s">
        <v>33</v>
      </c>
      <c r="G35" s="113" t="s">
        <v>15</v>
      </c>
      <c r="H35" s="114" t="s">
        <v>33</v>
      </c>
      <c r="I35" s="31"/>
      <c r="J35" s="31"/>
      <c r="K35" s="31"/>
      <c r="L35" s="31"/>
      <c r="M35" s="31"/>
      <c r="N35" s="31"/>
      <c r="O35" s="31"/>
      <c r="P35" s="31"/>
      <c r="Q35" s="149"/>
      <c r="R35" s="149"/>
      <c r="S35" s="149"/>
    </row>
    <row r="36" spans="2:19" ht="66" customHeight="1" thickBot="1" x14ac:dyDescent="0.4">
      <c r="B36" s="166"/>
      <c r="C36" s="118"/>
      <c r="D36" s="119"/>
      <c r="E36" s="118"/>
      <c r="F36" s="119"/>
      <c r="G36" s="118"/>
      <c r="H36" s="119"/>
      <c r="I36" s="31"/>
      <c r="J36" s="31"/>
      <c r="K36" s="31"/>
      <c r="L36" s="31"/>
      <c r="M36" s="31"/>
      <c r="N36" s="31"/>
      <c r="O36" s="31"/>
      <c r="P36" s="31"/>
      <c r="Q36" s="36" t="str">
        <f>IFERROR(VLOOKUP(C36,Emissionsfaktorer!$AC$4:$AD$17,2,FALSE)*D36,"")</f>
        <v/>
      </c>
      <c r="R36" s="36" t="str">
        <f>IFERROR(VLOOKUP(E36,Emissionsfaktorer!$AC$4:$AD$17,2,FALSE)*F36,"")</f>
        <v/>
      </c>
      <c r="S36" s="36" t="str">
        <f>IFERROR(VLOOKUP(G36,Emissionsfaktorer!$AC$4:$AD$17,2,FALSE)*H36,"")</f>
        <v/>
      </c>
    </row>
    <row r="37" spans="2:19" ht="20.149999999999999" customHeight="1" x14ac:dyDescent="0.35">
      <c r="F37" s="31"/>
      <c r="G37" s="31"/>
      <c r="H37" s="31"/>
      <c r="I37" s="31"/>
      <c r="J37" s="31"/>
      <c r="K37" s="31"/>
      <c r="L37" s="31"/>
      <c r="M37" s="31"/>
      <c r="N37" s="31"/>
      <c r="O37" s="31"/>
      <c r="P37" s="31"/>
    </row>
    <row r="38" spans="2:19" ht="20.149999999999999" customHeight="1" x14ac:dyDescent="0.35">
      <c r="F38" s="31"/>
      <c r="G38" s="31"/>
      <c r="H38" s="31"/>
      <c r="I38" s="31"/>
      <c r="J38" s="31"/>
      <c r="K38" s="31"/>
      <c r="L38" s="31"/>
      <c r="M38" s="31"/>
      <c r="N38" s="31"/>
      <c r="O38" s="31"/>
      <c r="P38" s="31"/>
    </row>
    <row r="39" spans="2:19" ht="42.75" customHeight="1" x14ac:dyDescent="0.45">
      <c r="B39" s="173" t="s">
        <v>38</v>
      </c>
      <c r="C39" s="110" t="s">
        <v>39</v>
      </c>
      <c r="D39" s="110" t="s">
        <v>11</v>
      </c>
      <c r="E39" s="110" t="s">
        <v>12</v>
      </c>
      <c r="S39" s="110" t="s">
        <v>40</v>
      </c>
    </row>
    <row r="40" spans="2:19" ht="24" customHeight="1" x14ac:dyDescent="0.45">
      <c r="B40" s="174"/>
      <c r="C40" s="26"/>
      <c r="D40" s="109"/>
      <c r="E40" s="34" t="str">
        <f>IFERROR(VLOOKUP(C40,Emissionsfaktorer!$O$4:$R$12,4,FALSE)," ")</f>
        <v xml:space="preserve"> </v>
      </c>
      <c r="F40" s="31"/>
      <c r="G40" s="31"/>
      <c r="H40" s="31"/>
      <c r="I40" s="31"/>
      <c r="J40" s="31"/>
      <c r="K40" s="31"/>
      <c r="L40" s="31"/>
      <c r="M40" s="31"/>
      <c r="N40" s="31"/>
      <c r="O40" s="31"/>
      <c r="P40" s="31"/>
      <c r="Q40" s="172" t="str">
        <f>IF(ISBLANK(C40), "", C40)</f>
        <v/>
      </c>
      <c r="R40" s="172"/>
      <c r="S40" s="34" t="str">
        <f>IFERROR(VLOOKUP(C40,Emissionsfaktorer!$O$4:$P$12,2,FALSE)*D40," ")</f>
        <v xml:space="preserve"> </v>
      </c>
    </row>
    <row r="41" spans="2:19" ht="24" customHeight="1" x14ac:dyDescent="0.45">
      <c r="B41" s="174"/>
      <c r="C41" s="26"/>
      <c r="D41" s="109"/>
      <c r="E41" s="34" t="str">
        <f>IFERROR(VLOOKUP(C41,Emissionsfaktorer!$O$4:$R$12,4,FALSE)," ")</f>
        <v xml:space="preserve"> </v>
      </c>
      <c r="F41" s="31"/>
      <c r="G41" s="31"/>
      <c r="H41" s="31"/>
      <c r="I41" s="31"/>
      <c r="J41" s="31"/>
      <c r="K41" s="31"/>
      <c r="L41" s="31"/>
      <c r="M41" s="31"/>
      <c r="N41" s="31"/>
      <c r="O41" s="31"/>
      <c r="P41" s="31"/>
      <c r="Q41" s="172" t="str">
        <f t="shared" ref="Q41:Q45" si="1">IF(ISBLANK(C41), "", C41)</f>
        <v/>
      </c>
      <c r="R41" s="172"/>
      <c r="S41" s="34" t="str">
        <f>IFERROR(VLOOKUP(C41,Emissionsfaktorer!$O$4:$P$12,2,FALSE)*D41," ")</f>
        <v xml:space="preserve"> </v>
      </c>
    </row>
    <row r="42" spans="2:19" ht="24" customHeight="1" x14ac:dyDescent="0.45">
      <c r="B42" s="174"/>
      <c r="C42" s="26"/>
      <c r="D42" s="109"/>
      <c r="E42" s="34" t="str">
        <f>IFERROR(VLOOKUP(C42,Emissionsfaktorer!$O$4:$R$12,4,FALSE)," ")</f>
        <v xml:space="preserve"> </v>
      </c>
      <c r="F42" s="31"/>
      <c r="G42" s="31"/>
      <c r="H42" s="31"/>
      <c r="I42" s="31"/>
      <c r="J42" s="31"/>
      <c r="K42" s="31"/>
      <c r="L42" s="31"/>
      <c r="M42" s="31"/>
      <c r="N42" s="31"/>
      <c r="O42" s="31"/>
      <c r="P42" s="31"/>
      <c r="Q42" s="172" t="str">
        <f t="shared" si="1"/>
        <v/>
      </c>
      <c r="R42" s="172"/>
      <c r="S42" s="34" t="str">
        <f>IFERROR(VLOOKUP(C42,Emissionsfaktorer!$O$4:$P$12,2,FALSE)*D42," ")</f>
        <v xml:space="preserve"> </v>
      </c>
    </row>
    <row r="43" spans="2:19" ht="24" customHeight="1" x14ac:dyDescent="0.45">
      <c r="B43" s="174"/>
      <c r="C43" s="26"/>
      <c r="D43" s="109"/>
      <c r="E43" s="34" t="str">
        <f>IFERROR(VLOOKUP(C43,Emissionsfaktorer!$O$4:$R$12,4,FALSE)," ")</f>
        <v xml:space="preserve"> </v>
      </c>
      <c r="F43" s="31"/>
      <c r="G43" s="31"/>
      <c r="H43" s="31"/>
      <c r="I43" s="31"/>
      <c r="J43" s="31"/>
      <c r="K43" s="31"/>
      <c r="L43" s="31"/>
      <c r="M43" s="31"/>
      <c r="N43" s="31"/>
      <c r="O43" s="31"/>
      <c r="P43" s="31"/>
      <c r="Q43" s="172" t="str">
        <f t="shared" si="1"/>
        <v/>
      </c>
      <c r="R43" s="172"/>
      <c r="S43" s="34" t="str">
        <f>IFERROR(VLOOKUP(C43,Emissionsfaktorer!$O$4:$P$12,2,FALSE)*D43," ")</f>
        <v xml:space="preserve"> </v>
      </c>
    </row>
    <row r="44" spans="2:19" ht="24" customHeight="1" x14ac:dyDescent="0.45">
      <c r="B44" s="174"/>
      <c r="C44" s="26"/>
      <c r="D44" s="109"/>
      <c r="E44" s="34" t="str">
        <f>IFERROR(VLOOKUP(C44,Emissionsfaktorer!$O$4:$R$12,4,FALSE)," ")</f>
        <v xml:space="preserve"> </v>
      </c>
      <c r="F44" s="31"/>
      <c r="G44" s="31"/>
      <c r="H44" s="31"/>
      <c r="I44" s="31"/>
      <c r="J44" s="31"/>
      <c r="K44" s="31"/>
      <c r="L44" s="31"/>
      <c r="M44" s="31"/>
      <c r="N44" s="31"/>
      <c r="O44" s="31"/>
      <c r="P44" s="31"/>
      <c r="Q44" s="172" t="str">
        <f t="shared" si="1"/>
        <v/>
      </c>
      <c r="R44" s="172"/>
      <c r="S44" s="34" t="str">
        <f>IFERROR(VLOOKUP(C44,Emissionsfaktorer!$O$4:$P$12,2,FALSE)*D44," ")</f>
        <v xml:space="preserve"> </v>
      </c>
    </row>
    <row r="45" spans="2:19" ht="24" customHeight="1" x14ac:dyDescent="0.45">
      <c r="B45" s="175"/>
      <c r="C45" s="26"/>
      <c r="D45" s="109"/>
      <c r="E45" s="34" t="str">
        <f>IFERROR(VLOOKUP(C45,Emissionsfaktorer!$O$4:$R$12,4,FALSE)," ")</f>
        <v xml:space="preserve"> </v>
      </c>
      <c r="F45" s="31"/>
      <c r="G45" s="31"/>
      <c r="H45" s="31"/>
      <c r="I45" s="31"/>
      <c r="J45" s="31"/>
      <c r="K45" s="31"/>
      <c r="L45" s="31"/>
      <c r="M45" s="31"/>
      <c r="N45" s="31"/>
      <c r="O45" s="31"/>
      <c r="P45" s="31"/>
      <c r="Q45" s="172" t="str">
        <f t="shared" si="1"/>
        <v/>
      </c>
      <c r="R45" s="172"/>
      <c r="S45" s="34" t="str">
        <f>IFERROR(VLOOKUP(C45,Emissionsfaktorer!$O$4:$P$12,2,FALSE)*D45," ")</f>
        <v xml:space="preserve"> </v>
      </c>
    </row>
    <row r="46" spans="2:19" ht="20.149999999999999" customHeight="1" x14ac:dyDescent="0.35"/>
    <row r="47" spans="2:19" ht="20.149999999999999" customHeight="1" x14ac:dyDescent="0.35"/>
    <row r="48" spans="2:19" ht="42" customHeight="1" x14ac:dyDescent="0.45">
      <c r="B48" s="150" t="s">
        <v>41</v>
      </c>
      <c r="C48" s="111" t="s">
        <v>41</v>
      </c>
      <c r="D48" s="111" t="s">
        <v>12</v>
      </c>
      <c r="E48" s="111" t="s">
        <v>42</v>
      </c>
      <c r="K48" s="32"/>
      <c r="L48" s="32"/>
      <c r="S48" s="111" t="s">
        <v>43</v>
      </c>
    </row>
    <row r="49" spans="2:19" ht="24" customHeight="1" x14ac:dyDescent="0.45">
      <c r="B49" s="151"/>
      <c r="C49" s="26"/>
      <c r="D49" s="34" t="str">
        <f>IFERROR(VLOOKUP(C49,Emissionsfaktorer!$X$4:$AA$14,4,FALSE)," ")</f>
        <v xml:space="preserve"> </v>
      </c>
      <c r="E49" s="109"/>
      <c r="F49" s="31"/>
      <c r="G49" s="31"/>
      <c r="H49" s="31"/>
      <c r="I49" s="31"/>
      <c r="J49" s="31"/>
      <c r="K49" s="31"/>
      <c r="L49" s="31"/>
      <c r="M49" s="31"/>
      <c r="N49" s="31"/>
      <c r="O49" s="31"/>
      <c r="P49" s="31"/>
      <c r="Q49" s="155" t="str">
        <f>IF(ISBLANK(C49), "", C49)</f>
        <v/>
      </c>
      <c r="R49" s="155"/>
      <c r="S49" s="34" t="str">
        <f>IFERROR(IF(C49=Emissionsfaktorer!$X$11,VLOOKUP(C49,Emissionsfaktorer!$X$4:$Y$11,2,FALSE)*E49*(SUM(Indata!$E$8:$E$27)/1000),VLOOKUP(C49,Emissionsfaktorer!$X$4:$Y$14,2,FALSE)*E49),"")</f>
        <v/>
      </c>
    </row>
    <row r="50" spans="2:19" ht="24" customHeight="1" x14ac:dyDescent="0.45">
      <c r="B50" s="151"/>
      <c r="C50" s="26"/>
      <c r="D50" s="34" t="str">
        <f>IFERROR(VLOOKUP(C50,Emissionsfaktorer!$X$4:$AA$14,4,FALSE)," ")</f>
        <v xml:space="preserve"> </v>
      </c>
      <c r="E50" s="109"/>
      <c r="F50" s="31"/>
      <c r="G50" s="31"/>
      <c r="H50" s="31"/>
      <c r="I50" s="31"/>
      <c r="J50" s="31"/>
      <c r="K50" s="31"/>
      <c r="L50" s="31"/>
      <c r="M50" s="31"/>
      <c r="N50" s="31"/>
      <c r="O50" s="31"/>
      <c r="P50" s="31"/>
      <c r="Q50" s="155" t="str">
        <f t="shared" ref="Q50:Q53" si="2">IF(ISBLANK(C50), "", C50)</f>
        <v/>
      </c>
      <c r="R50" s="155"/>
      <c r="S50" s="34" t="str">
        <f>IFERROR(IF(C50=Emissionsfaktorer!$X$11,VLOOKUP(C50,Emissionsfaktorer!$X$4:$Y$11,2,FALSE)*E50*(SUM(Indata!$E$8:$E$27)/1000),VLOOKUP(C50,Emissionsfaktorer!$X$4:$Y$14,2,FALSE)*E50),"")</f>
        <v/>
      </c>
    </row>
    <row r="51" spans="2:19" ht="24" customHeight="1" x14ac:dyDescent="0.45">
      <c r="B51" s="151"/>
      <c r="C51" s="26"/>
      <c r="D51" s="34" t="str">
        <f>IFERROR(VLOOKUP(C51,Emissionsfaktorer!$X$4:$AA$14,4,FALSE)," ")</f>
        <v xml:space="preserve"> </v>
      </c>
      <c r="E51" s="109"/>
      <c r="F51" s="31"/>
      <c r="G51" s="31"/>
      <c r="H51" s="31"/>
      <c r="I51" s="31"/>
      <c r="J51" s="31"/>
      <c r="K51" s="31"/>
      <c r="L51" s="31"/>
      <c r="M51" s="31"/>
      <c r="N51" s="31"/>
      <c r="O51" s="31"/>
      <c r="P51" s="31"/>
      <c r="Q51" s="155" t="str">
        <f t="shared" si="2"/>
        <v/>
      </c>
      <c r="R51" s="155"/>
      <c r="S51" s="34" t="str">
        <f>IFERROR(IF(C51=Emissionsfaktorer!$X$11,VLOOKUP(C51,Emissionsfaktorer!$X$4:$Y$11,2,FALSE)*E51*(SUM(Indata!$E$8:$E$27)/1000),VLOOKUP(C51,Emissionsfaktorer!$X$4:$Y$14,2,FALSE)*E51),"")</f>
        <v/>
      </c>
    </row>
    <row r="52" spans="2:19" ht="24" customHeight="1" x14ac:dyDescent="0.45">
      <c r="B52" s="151"/>
      <c r="C52" s="26"/>
      <c r="D52" s="34" t="str">
        <f>IFERROR(VLOOKUP(C52,Emissionsfaktorer!$X$4:$AA$14,4,FALSE)," ")</f>
        <v xml:space="preserve"> </v>
      </c>
      <c r="E52" s="109"/>
      <c r="F52" s="31"/>
      <c r="G52" s="31"/>
      <c r="H52" s="31"/>
      <c r="I52" s="31"/>
      <c r="J52" s="31"/>
      <c r="K52" s="31"/>
      <c r="L52" s="31"/>
      <c r="M52" s="31"/>
      <c r="N52" s="31"/>
      <c r="O52" s="31"/>
      <c r="P52" s="31"/>
      <c r="Q52" s="155" t="str">
        <f t="shared" si="2"/>
        <v/>
      </c>
      <c r="R52" s="155"/>
      <c r="S52" s="34" t="str">
        <f>IFERROR(IF(C52=Emissionsfaktorer!$X$11,VLOOKUP(C52,Emissionsfaktorer!$X$4:$Y$11,2,FALSE)*E52*(SUM(Indata!$E$8:$E$27)/1000),VLOOKUP(C52,Emissionsfaktorer!$X$4:$Y$14,2,FALSE)*E52),"")</f>
        <v/>
      </c>
    </row>
    <row r="53" spans="2:19" ht="24" customHeight="1" x14ac:dyDescent="0.45">
      <c r="B53" s="152"/>
      <c r="C53" s="26"/>
      <c r="D53" s="34" t="str">
        <f>IFERROR(VLOOKUP(C53,Emissionsfaktorer!$X$4:$AA$14,4,FALSE)," ")</f>
        <v xml:space="preserve"> </v>
      </c>
      <c r="E53" s="109"/>
      <c r="F53" s="31"/>
      <c r="G53" s="31"/>
      <c r="H53" s="31"/>
      <c r="I53" s="31"/>
      <c r="J53" s="31"/>
      <c r="K53" s="31"/>
      <c r="L53" s="31"/>
      <c r="M53" s="31"/>
      <c r="N53" s="31"/>
      <c r="O53" s="31"/>
      <c r="P53" s="31"/>
      <c r="Q53" s="155" t="str">
        <f t="shared" si="2"/>
        <v/>
      </c>
      <c r="R53" s="155"/>
      <c r="S53" s="34" t="str">
        <f>IFERROR(IF(C53=Emissionsfaktorer!$X$11,VLOOKUP(C53,Emissionsfaktorer!$X$4:$Y$11,2,FALSE)*E53*(SUM(Indata!$E$8:$E$27)/1000),VLOOKUP(C53,Emissionsfaktorer!$X$4:$Y$14,2,FALSE)*E53),"")</f>
        <v/>
      </c>
    </row>
    <row r="54" spans="2:19" ht="24" customHeight="1" x14ac:dyDescent="0.35"/>
    <row r="59" spans="2:19" hidden="1" x14ac:dyDescent="0.35"/>
    <row r="60" spans="2:19" hidden="1" x14ac:dyDescent="0.35"/>
    <row r="61" spans="2:19" hidden="1" x14ac:dyDescent="0.35">
      <c r="C61" s="33" t="str">
        <f>"Klimatpåverkan för "&amp;$D$2</f>
        <v xml:space="preserve">Klimatpåverkan för </v>
      </c>
    </row>
    <row r="62" spans="2:19" hidden="1" x14ac:dyDescent="0.35">
      <c r="C62" s="34" t="s">
        <v>44</v>
      </c>
      <c r="D62" s="34" t="s">
        <v>45</v>
      </c>
    </row>
    <row r="63" spans="2:19" hidden="1" x14ac:dyDescent="0.35">
      <c r="C63" s="38"/>
      <c r="D63" s="135" t="s">
        <v>46</v>
      </c>
      <c r="E63" s="135" t="s">
        <v>47</v>
      </c>
      <c r="F63" s="135" t="s">
        <v>41</v>
      </c>
      <c r="G63" s="38"/>
      <c r="H63" s="37" t="s">
        <v>48</v>
      </c>
      <c r="I63" s="38"/>
      <c r="J63" s="38"/>
      <c r="K63" s="38" t="s">
        <v>49</v>
      </c>
      <c r="L63" s="38" t="s">
        <v>50</v>
      </c>
      <c r="M63" s="38" t="s">
        <v>51</v>
      </c>
    </row>
    <row r="64" spans="2:19" hidden="1" x14ac:dyDescent="0.35">
      <c r="C64" s="38" t="str">
        <f>"Materialproduktion; "&amp;$D$64&amp;" kg CO2e"</f>
        <v>Materialproduktion; 0 kg CO2e</v>
      </c>
      <c r="D64" s="38">
        <f>ROUND(SUM($Q$8:$Q$27),0)</f>
        <v>0</v>
      </c>
      <c r="E64" s="38"/>
      <c r="F64" s="38"/>
      <c r="G64" s="38"/>
      <c r="H64" s="39" t="e">
        <f>ROUND(D64/$G$71*100,1)</f>
        <v>#DIV/0!</v>
      </c>
      <c r="I64" s="38"/>
      <c r="J64" s="38"/>
      <c r="K64" s="38">
        <f>ROUND(Indata!$G$71/Emissionsfaktorer!$U$11/70.8,0)</f>
        <v>0</v>
      </c>
      <c r="L64" s="38">
        <f>ROUND(Indata!$G$71/Emissionsfaktorer!$AJ$4,0)</f>
        <v>0</v>
      </c>
      <c r="M64" s="38">
        <f>ROUND(Indata!$G$71/Emissionsfaktorer!$AM$4,0)</f>
        <v>0</v>
      </c>
    </row>
    <row r="65" spans="3:13" hidden="1" x14ac:dyDescent="0.35">
      <c r="C65" s="38" t="str">
        <f>"Materialbearbetning; "&amp;$D$65&amp;" kg CO2e"</f>
        <v>Materialbearbetning; 0 kg CO2e</v>
      </c>
      <c r="D65" s="38">
        <f>ROUND(SUM($V$8:$V$27),0)</f>
        <v>0</v>
      </c>
      <c r="E65" s="38"/>
      <c r="F65" s="38"/>
      <c r="G65" s="38"/>
      <c r="H65" s="39" t="e">
        <f>ROUND(D65/$G$71*100,1)</f>
        <v>#DIV/0!</v>
      </c>
      <c r="I65" s="38"/>
      <c r="J65" s="38"/>
      <c r="K65" s="38"/>
      <c r="L65" s="38"/>
      <c r="M65" s="38"/>
    </row>
    <row r="66" spans="3:13" hidden="1" x14ac:dyDescent="0.35">
      <c r="C66" s="38" t="str">
        <f>"Transport material; "&amp;$D$66&amp;" kg CO2e"</f>
        <v>Transport material; 0 kg CO2e</v>
      </c>
      <c r="D66" s="38">
        <f>ROUND(SUM($U$8:$U$27),0)</f>
        <v>0</v>
      </c>
      <c r="E66" s="38"/>
      <c r="F66" s="38"/>
      <c r="G66" s="38"/>
      <c r="H66" s="39" t="e">
        <f>ROUND(D66/$G$71*100,1)</f>
        <v>#DIV/0!</v>
      </c>
      <c r="I66" s="38"/>
      <c r="J66" s="38"/>
      <c r="K66" s="38"/>
      <c r="L66" s="38"/>
      <c r="M66" s="38"/>
    </row>
    <row r="67" spans="3:13" hidden="1" x14ac:dyDescent="0.35">
      <c r="C67" s="38" t="str">
        <f>"Transport konstverk; "&amp;$E$67&amp;" kg CO2e"</f>
        <v>Transport konstverk; 0 kg CO2e</v>
      </c>
      <c r="D67" s="38"/>
      <c r="E67" s="38">
        <f>ROUND(SUM($Q$32),0)</f>
        <v>0</v>
      </c>
      <c r="F67" s="38"/>
      <c r="G67" s="38"/>
      <c r="H67" s="39" t="e">
        <f>ROUND(E67/$G$71*100,1)</f>
        <v>#DIV/0!</v>
      </c>
      <c r="I67" s="38"/>
      <c r="J67" s="38"/>
      <c r="K67" s="38"/>
      <c r="L67" s="38"/>
      <c r="M67" s="38"/>
    </row>
    <row r="68" spans="3:13" hidden="1" x14ac:dyDescent="0.35">
      <c r="C68" s="38" t="str">
        <f>"Persontransporter; "&amp;$E$68&amp;" kg CO2e"</f>
        <v>Persontransporter; 0 kg CO2e</v>
      </c>
      <c r="D68" s="38"/>
      <c r="E68" s="38">
        <f>ROUND(SUM($Q$36:$S$36),0)</f>
        <v>0</v>
      </c>
      <c r="F68" s="38"/>
      <c r="G68" s="38"/>
      <c r="H68" s="39" t="e">
        <f>ROUND(E68/$G$71*100,1)</f>
        <v>#DIV/0!</v>
      </c>
      <c r="I68" s="38"/>
      <c r="J68" s="38"/>
      <c r="K68" s="38"/>
      <c r="L68" s="38"/>
      <c r="M68" s="38"/>
    </row>
    <row r="69" spans="3:13" hidden="1" x14ac:dyDescent="0.35">
      <c r="C69" s="38" t="str">
        <f>"Anläggningsarbete; "&amp;$E$69&amp;" kg CO2e"</f>
        <v>Anläggningsarbete; 0 kg CO2e</v>
      </c>
      <c r="D69" s="38"/>
      <c r="E69" s="38">
        <f>ROUND(SUM($S$40:$S$45),0)</f>
        <v>0</v>
      </c>
      <c r="F69" s="38"/>
      <c r="G69" s="38"/>
      <c r="H69" s="39" t="e">
        <f>ROUND(E69/$G$71*100,1)</f>
        <v>#DIV/0!</v>
      </c>
      <c r="I69" s="38"/>
      <c r="J69" s="38"/>
      <c r="K69" s="38"/>
      <c r="L69" s="38"/>
      <c r="M69" s="38"/>
    </row>
    <row r="70" spans="3:13" hidden="1" x14ac:dyDescent="0.35">
      <c r="C70" s="38" t="str">
        <f>"Drift och underhåll; "&amp;$F$70&amp;" kg CO2e"</f>
        <v>Drift och underhåll; 0 kg CO2e</v>
      </c>
      <c r="D70" s="38"/>
      <c r="E70" s="38"/>
      <c r="F70" s="38">
        <f>ROUND(SUM($S$49:$S$53),0)</f>
        <v>0</v>
      </c>
      <c r="G70" s="38"/>
      <c r="H70" s="39" t="e">
        <f>ROUND(F70/$G$71*100,1)</f>
        <v>#DIV/0!</v>
      </c>
      <c r="I70" s="38"/>
      <c r="J70" s="38"/>
      <c r="K70" s="38"/>
      <c r="L70" s="38"/>
      <c r="M70" s="38"/>
    </row>
    <row r="71" spans="3:13" hidden="1" x14ac:dyDescent="0.35">
      <c r="C71" s="34" t="s">
        <v>52</v>
      </c>
      <c r="D71" s="38">
        <f>SUM(D64:D70)</f>
        <v>0</v>
      </c>
      <c r="E71" s="38">
        <f t="shared" ref="E71:F71" si="3">SUM(E64:E70)</f>
        <v>0</v>
      </c>
      <c r="F71" s="38">
        <f t="shared" si="3"/>
        <v>0</v>
      </c>
      <c r="G71" s="38">
        <f>SUM(D71:F71)</f>
        <v>0</v>
      </c>
      <c r="H71" s="99" t="e">
        <f>SUM(H64:H70)</f>
        <v>#DIV/0!</v>
      </c>
      <c r="I71" s="38"/>
      <c r="J71" s="38"/>
      <c r="K71" s="38"/>
      <c r="L71" s="38"/>
      <c r="M71" s="38"/>
    </row>
    <row r="72" spans="3:13" hidden="1" x14ac:dyDescent="0.35">
      <c r="C72" s="34" t="s">
        <v>10</v>
      </c>
      <c r="D72" s="34" t="s">
        <v>45</v>
      </c>
      <c r="E72" s="38"/>
      <c r="F72" s="38"/>
      <c r="G72" s="38"/>
      <c r="H72" s="38"/>
      <c r="I72" s="38"/>
      <c r="J72" s="38"/>
      <c r="K72" s="38"/>
      <c r="L72" s="38"/>
      <c r="M72" s="38"/>
    </row>
    <row r="73" spans="3:13" hidden="1" x14ac:dyDescent="0.35">
      <c r="C73" s="38" t="e" cm="1" vm="1">
        <f t="array" ref="C73">_xlfn._xlws.SORT(_xlfn.UNIQUE(_xlfn._xlws.FILTER($C$8:$C$27,$C$8:$C$27&lt;&gt;"")))</f>
        <v>#VALUE!</v>
      </c>
      <c r="D73" s="38" t="str">
        <f>IF(AND(SUMIF($C$8:$C$27,C73,$Q$8:$Q$27)=0),"",SUMIF($C$8:$C$27,C73,$Q$8:$Q$27))</f>
        <v/>
      </c>
      <c r="E73" s="40"/>
      <c r="F73" s="38"/>
      <c r="G73" s="38"/>
      <c r="H73" s="38"/>
      <c r="I73" s="38"/>
      <c r="J73" s="38"/>
      <c r="K73" s="38"/>
      <c r="L73" s="38"/>
      <c r="M73" s="38"/>
    </row>
    <row r="74" spans="3:13" hidden="1" x14ac:dyDescent="0.35">
      <c r="C74" s="38"/>
      <c r="D74" s="38" t="str">
        <f t="shared" ref="D74:D79" si="4">IF(AND(SUMIF($C$8:$C$27,C74,$Q$8:$Q$27)=0),"",SUMIF($C$8:$C$27,C74,$Q$8:$Q$27))</f>
        <v/>
      </c>
      <c r="E74" s="40"/>
      <c r="F74" s="38"/>
      <c r="G74" s="38"/>
      <c r="H74" s="38"/>
      <c r="I74" s="38"/>
      <c r="J74" s="38"/>
      <c r="K74" s="38"/>
      <c r="L74" s="38"/>
      <c r="M74" s="38"/>
    </row>
    <row r="75" spans="3:13" hidden="1" x14ac:dyDescent="0.35">
      <c r="C75" s="38"/>
      <c r="D75" s="38" t="str">
        <f t="shared" si="4"/>
        <v/>
      </c>
      <c r="E75" s="40"/>
      <c r="F75" s="38"/>
      <c r="G75" s="38"/>
      <c r="H75" s="38"/>
      <c r="I75" s="38"/>
      <c r="J75" s="38"/>
      <c r="K75" s="38"/>
      <c r="L75" s="38"/>
      <c r="M75" s="38"/>
    </row>
    <row r="76" spans="3:13" hidden="1" x14ac:dyDescent="0.35">
      <c r="C76" s="38"/>
      <c r="D76" s="38" t="str">
        <f t="shared" si="4"/>
        <v/>
      </c>
      <c r="E76" s="40"/>
      <c r="F76" s="38"/>
      <c r="G76" s="38"/>
      <c r="H76" s="38"/>
      <c r="I76" s="38"/>
      <c r="J76" s="38"/>
      <c r="K76" s="38"/>
      <c r="L76" s="38"/>
      <c r="M76" s="38"/>
    </row>
    <row r="77" spans="3:13" hidden="1" x14ac:dyDescent="0.35">
      <c r="C77" s="38"/>
      <c r="D77" s="38" t="str">
        <f t="shared" si="4"/>
        <v/>
      </c>
    </row>
    <row r="78" spans="3:13" hidden="1" x14ac:dyDescent="0.35">
      <c r="C78" s="38"/>
      <c r="D78" s="38" t="str">
        <f t="shared" si="4"/>
        <v/>
      </c>
    </row>
    <row r="79" spans="3:13" hidden="1" x14ac:dyDescent="0.35">
      <c r="C79" s="38"/>
      <c r="D79" s="38" t="str">
        <f t="shared" si="4"/>
        <v/>
      </c>
    </row>
    <row r="80" spans="3:13" hidden="1" x14ac:dyDescent="0.35">
      <c r="C80" s="38"/>
      <c r="D80" s="38"/>
    </row>
    <row r="81" hidden="1" x14ac:dyDescent="0.35"/>
    <row r="82" hidden="1" x14ac:dyDescent="0.35"/>
  </sheetData>
  <sheetProtection algorithmName="SHA-512" hashValue="Z6Pv4Re1urJaqqUD3iErWJP0BG4goN5BFycNWpCsEh3k1hYJEJosOJT2tuj42K9adD45allcKNTphL+avUU7TQ==" saltValue="NrXh7IxrbYnI6DnJVmvcvA==" spinCount="100000" sheet="1" selectLockedCells="1"/>
  <mergeCells count="32">
    <mergeCell ref="M6:N6"/>
    <mergeCell ref="K6:L6"/>
    <mergeCell ref="B7:B27"/>
    <mergeCell ref="B35:B36"/>
    <mergeCell ref="Q40:R40"/>
    <mergeCell ref="B39:B45"/>
    <mergeCell ref="O6:P6"/>
    <mergeCell ref="Q30:Q31"/>
    <mergeCell ref="R30:R31"/>
    <mergeCell ref="Q41:R41"/>
    <mergeCell ref="Q42:R42"/>
    <mergeCell ref="Q43:R43"/>
    <mergeCell ref="Q44:R44"/>
    <mergeCell ref="Q45:R45"/>
    <mergeCell ref="E3:I5"/>
    <mergeCell ref="C30:D30"/>
    <mergeCell ref="E30:F30"/>
    <mergeCell ref="G30:H30"/>
    <mergeCell ref="B31:B32"/>
    <mergeCell ref="S30:S31"/>
    <mergeCell ref="Q34:Q35"/>
    <mergeCell ref="R34:R35"/>
    <mergeCell ref="S34:S35"/>
    <mergeCell ref="B48:B53"/>
    <mergeCell ref="C34:D34"/>
    <mergeCell ref="E34:F34"/>
    <mergeCell ref="G34:H34"/>
    <mergeCell ref="Q49:R49"/>
    <mergeCell ref="Q50:R50"/>
    <mergeCell ref="Q51:R51"/>
    <mergeCell ref="Q52:R52"/>
    <mergeCell ref="Q53:R53"/>
  </mergeCells>
  <conditionalFormatting sqref="C73:D79">
    <cfRule type="cellIs" dxfId="30" priority="35" operator="equal">
      <formula>0</formula>
    </cfRule>
    <cfRule type="cellIs" dxfId="29" priority="36" operator="lessThan">
      <formula>0</formula>
    </cfRule>
  </conditionalFormatting>
  <conditionalFormatting sqref="D8:D27">
    <cfRule type="expression" dxfId="28" priority="34">
      <formula>C8&lt;&gt;""</formula>
    </cfRule>
  </conditionalFormatting>
  <conditionalFormatting sqref="D32">
    <cfRule type="expression" dxfId="27" priority="15">
      <formula>D32&lt;&gt;""</formula>
    </cfRule>
    <cfRule type="expression" dxfId="26" priority="16">
      <formula>C32&lt;&gt;""</formula>
    </cfRule>
  </conditionalFormatting>
  <conditionalFormatting sqref="D36">
    <cfRule type="expression" dxfId="25" priority="9">
      <formula>D36&lt;&gt;""</formula>
    </cfRule>
    <cfRule type="expression" dxfId="24" priority="10">
      <formula>C36&lt;&gt;""</formula>
    </cfRule>
  </conditionalFormatting>
  <conditionalFormatting sqref="D40:D45">
    <cfRule type="expression" dxfId="23" priority="3">
      <formula>D40&lt;&gt;""</formula>
    </cfRule>
    <cfRule type="expression" dxfId="22" priority="4">
      <formula>C40&lt;&gt;""</formula>
    </cfRule>
  </conditionalFormatting>
  <conditionalFormatting sqref="D8:E27">
    <cfRule type="expression" dxfId="21" priority="23">
      <formula>D8&lt;&gt;""</formula>
    </cfRule>
  </conditionalFormatting>
  <conditionalFormatting sqref="E8:E27">
    <cfRule type="expression" dxfId="20" priority="33">
      <formula>C8&lt;&gt;""</formula>
    </cfRule>
  </conditionalFormatting>
  <conditionalFormatting sqref="E49:E53">
    <cfRule type="expression" dxfId="19" priority="1">
      <formula>E49&lt;&gt;""</formula>
    </cfRule>
    <cfRule type="expression" dxfId="18" priority="2">
      <formula>C49&lt;&gt;""</formula>
    </cfRule>
  </conditionalFormatting>
  <conditionalFormatting sqref="F32">
    <cfRule type="expression" dxfId="17" priority="13">
      <formula>F32&lt;&gt;""</formula>
    </cfRule>
    <cfRule type="expression" dxfId="16" priority="14">
      <formula>E32&lt;&gt;""</formula>
    </cfRule>
  </conditionalFormatting>
  <conditionalFormatting sqref="F36">
    <cfRule type="expression" dxfId="15" priority="7">
      <formula>F36&lt;&gt;""</formula>
    </cfRule>
    <cfRule type="expression" dxfId="14" priority="8">
      <formula>E36&lt;&gt;""</formula>
    </cfRule>
  </conditionalFormatting>
  <conditionalFormatting sqref="H8:H27">
    <cfRule type="expression" dxfId="13" priority="22">
      <formula>H8&lt;&gt;""</formula>
    </cfRule>
    <cfRule type="expression" dxfId="12" priority="32">
      <formula>INDIRECT(G8)&lt;&gt;""</formula>
    </cfRule>
  </conditionalFormatting>
  <conditionalFormatting sqref="H32">
    <cfRule type="expression" dxfId="11" priority="11">
      <formula>H32&lt;&gt;""</formula>
    </cfRule>
    <cfRule type="expression" dxfId="10" priority="12">
      <formula>G32&lt;&gt;""</formula>
    </cfRule>
  </conditionalFormatting>
  <conditionalFormatting sqref="H36">
    <cfRule type="expression" dxfId="9" priority="5">
      <formula>H36&lt;&gt;""</formula>
    </cfRule>
    <cfRule type="expression" dxfId="8" priority="6">
      <formula>G36&lt;&gt;""</formula>
    </cfRule>
  </conditionalFormatting>
  <conditionalFormatting sqref="J8:J27">
    <cfRule type="expression" dxfId="7" priority="31">
      <formula>INDIRECT(G8)&lt;&gt;""</formula>
    </cfRule>
  </conditionalFormatting>
  <conditionalFormatting sqref="J8:L27">
    <cfRule type="expression" dxfId="6" priority="19">
      <formula>J8&lt;&gt;""</formula>
    </cfRule>
  </conditionalFormatting>
  <conditionalFormatting sqref="K8:K27">
    <cfRule type="expression" dxfId="5" priority="30">
      <formula>INDIRECT(C8)&lt;&gt;""</formula>
    </cfRule>
  </conditionalFormatting>
  <conditionalFormatting sqref="L8:L27">
    <cfRule type="expression" dxfId="4" priority="29">
      <formula>INDIRECT(C8)&lt;&gt;""</formula>
    </cfRule>
  </conditionalFormatting>
  <conditionalFormatting sqref="N8:N27">
    <cfRule type="expression" dxfId="3" priority="18">
      <formula>N8&lt;&gt;""</formula>
    </cfRule>
    <cfRule type="expression" dxfId="2" priority="27">
      <formula>M8&lt;&gt;""</formula>
    </cfRule>
  </conditionalFormatting>
  <conditionalFormatting sqref="P8:P27">
    <cfRule type="expression" dxfId="1" priority="17">
      <formula>P8&lt;&gt;""</formula>
    </cfRule>
    <cfRule type="expression" dxfId="0" priority="26">
      <formula>O8&lt;&gt;""</formula>
    </cfRule>
  </conditionalFormatting>
  <dataValidations xWindow="1152" yWindow="777" count="18">
    <dataValidation type="list" allowBlank="1" showInputMessage="1" showErrorMessage="1" prompt="Specificera materialval. Om materialet saknas i listan, välj ett material med liknande egenskaper." sqref="D8:D27" xr:uid="{44C8076E-B86C-4D18-91D1-7D9AB92AF8F9}">
      <formula1>INDIRECT(C8)</formula1>
    </dataValidation>
    <dataValidation allowBlank="1" showInputMessage="1" showErrorMessage="1" prompt="Fyll i transportsträcka för det aktuella transportsättet i kilometer (km)." sqref="L8:L27" xr:uid="{91601C89-C8BB-4358-AA95-5EC9DC749933}"/>
    <dataValidation allowBlank="1" showInputMessage="1" showErrorMessage="1" prompt="Fyll i namnet på konstverket." sqref="D2" xr:uid="{68C1415D-9E56-47D8-87E0-0499E05C9FF0}"/>
    <dataValidation allowBlank="1" showInputMessage="1" showErrorMessage="1" prompt="Ange namn." sqref="D3:D4" xr:uid="{DD42DFD4-E9E3-4CCC-93DA-D31FA3386F51}"/>
    <dataValidation allowBlank="1" showInputMessage="1" showErrorMessage="1" prompt="Ange mängd för anläggningsarbetet, kontrollera enheten." sqref="D40:D45" xr:uid="{8F66F590-6A3D-43B3-9DA6-34F3271B7A86}"/>
    <dataValidation allowBlank="1" showInputMessage="1" showErrorMessage="1" prompt="Ange effekt för belysning eller elanvändning." sqref="D49:D53" xr:uid="{B82DBF48-D443-4BCB-8640-5180FA4E740D}"/>
    <dataValidation allowBlank="1" showInputMessage="1" showErrorMessage="1" prompt="Ange det årliga drift och underhållsbehovet. Kontrollera enheten. " sqref="E49:E53" xr:uid="{32EA3F4A-0A26-4F0E-8AC1-77D4DD021422}"/>
    <dataValidation type="list" allowBlank="1" showInputMessage="1" showErrorMessage="1" prompt="Ange den energikälla som används vid materialbearbetningen samt vid behov region." sqref="J8:J27" xr:uid="{CD74D644-B6BC-4C6E-8FE7-78DF5428DC70}">
      <formula1>INDIRECT(G8)</formula1>
    </dataValidation>
    <dataValidation allowBlank="1" showInputMessage="1" showErrorMessage="1" promptTitle="(Vid behov)" prompt="Ange transportsträcka för delsträcka 3 i km." sqref="H32" xr:uid="{E204A442-204C-4FAB-93C3-2A027C36B34D}"/>
    <dataValidation allowBlank="1" showInputMessage="1" showErrorMessage="1" prompt="Fyll i totalt antal kilometer för valt transportsätt." sqref="D36" xr:uid="{61966E3F-2147-4864-9E39-6EC1CC739BFE}"/>
    <dataValidation allowBlank="1" showInputMessage="1" showErrorMessage="1" prompt="Ange konstverkets totalvikt i kg." sqref="D5" xr:uid="{2970E6A6-6EF0-45A4-89C7-4DB4D19C086E}"/>
    <dataValidation allowBlank="1" showInputMessage="1" showErrorMessage="1" prompt="Möjlighet att lägga till egna kommentarer/beskrivningar av konstverket. Texten presenteras även på sista sidan i rapporten." sqref="E3:I5" xr:uid="{3199C12F-713D-473E-976A-36FE2AB46F7B}"/>
    <dataValidation allowBlank="1" showInputMessage="1" showErrorMessage="1" prompt="Ange transportsträcka för delsträcka 1 i km." sqref="D32" xr:uid="{C3F4505F-B34F-4424-A087-EF4CDE2403FE}"/>
    <dataValidation allowBlank="1" showInputMessage="1" showErrorMessage="1" promptTitle="(Vid behov)" prompt="Ange transportsträcka för delsträcka 2 i km." sqref="F32" xr:uid="{4D6F7840-0E53-477A-9DBF-B22BE4F0E180}"/>
    <dataValidation allowBlank="1" showInputMessage="1" showErrorMessage="1" promptTitle="(Vid behov)" prompt="Fyll i transportsträcka för det aktuella transportsättet i kilometer (km)." sqref="N8:N27 P8:P27" xr:uid="{0925F0D7-DD6D-48A1-B9A8-86E2CC8FB1A8}"/>
    <dataValidation allowBlank="1" showInputMessage="1" showErrorMessage="1" promptTitle="(Vid behov)" prompt="Fyll i totalt antal kilometer för valt transportsätt." sqref="F36 H36" xr:uid="{B6DF28AB-E8EB-4DB8-9606-361514A0097D}"/>
    <dataValidation type="decimal" operator="greaterThan" allowBlank="1" showInputMessage="1" showErrorMessage="1" prompt="Skriv in materialmängd, kontrollera att enheten stämmer. " sqref="E8:E27" xr:uid="{4B5009A4-155B-41DB-BB5C-CEC881F310C1}">
      <formula1>0</formula1>
    </dataValidation>
    <dataValidation type="decimal" operator="greaterThan" allowBlank="1" showInputMessage="1" showErrorMessage="1" prompt="Fyll i mängder för materialbearbetning, kontrollera enheten." sqref="H8:H27" xr:uid="{4DD57DCA-B044-41EB-8F21-5375DA8CC7DB}">
      <formula1>0</formula1>
    </dataValidation>
  </dataValidations>
  <pageMargins left="0.7" right="0.7" top="0.75" bottom="0.75" header="0.3" footer="0.3"/>
  <pageSetup paperSize="8" scale="70" orientation="landscape" r:id="rId1"/>
  <drawing r:id="rId2"/>
  <extLst>
    <ext xmlns:x14="http://schemas.microsoft.com/office/spreadsheetml/2009/9/main" uri="{CCE6A557-97BC-4b89-ADB6-D9C93CAAB3DF}">
      <x14:dataValidations xmlns:xm="http://schemas.microsoft.com/office/excel/2006/main" xWindow="1152" yWindow="777" count="14">
        <x14:dataValidation type="list" allowBlank="1" showInputMessage="1" showErrorMessage="1" xr:uid="{8E0DF547-DF69-4A66-98F8-24E1F1F2FFF3}">
          <x14:formula1>
            <xm:f>Emissionsfaktorer!$F$57:$F$58</xm:f>
          </x14:formula1>
          <xm:sqref>D55:D56</xm:sqref>
        </x14:dataValidation>
        <x14:dataValidation type="list" allowBlank="1" showInputMessage="1" showErrorMessage="1" prompt="Ange eventuella anläggningsarbeten." xr:uid="{7DED06CE-EC0A-4A2F-B5A3-0E5C5C0B8430}">
          <x14:formula1>
            <xm:f>Emissionsfaktorer!$O$4:$O$8</xm:f>
          </x14:formula1>
          <xm:sqref>C41:C45</xm:sqref>
        </x14:dataValidation>
        <x14:dataValidation type="list" allowBlank="1" showInputMessage="1" showErrorMessage="1" prompt="Välj den materialgrupp som materialet tillhör." xr:uid="{74145C81-ACDD-4666-B79C-CE1E13A79C3B}">
          <x14:formula1>
            <xm:f>Emissionsfaktorer!$E$77:$L$77</xm:f>
          </x14:formula1>
          <xm:sqref>C8:C27</xm:sqref>
        </x14:dataValidation>
        <x14:dataValidation type="list" allowBlank="1" showInputMessage="1" showErrorMessage="1" prompt="Välj transportsätt och (om nödvändigt) geografi för delsträcka 1." xr:uid="{C255A60A-19E7-4475-9BDD-1C9EBCA9580C}">
          <x14:formula1>
            <xm:f>Emissionsfaktorer!$T$4:$T$16</xm:f>
          </x14:formula1>
          <xm:sqref>K8:K27</xm:sqref>
        </x14:dataValidation>
        <x14:dataValidation type="list" showInputMessage="1" showErrorMessage="1" promptTitle="(Vid behov)" prompt="Välj transportsätt och (om nödvändigt) geografi för delsträcka 2." xr:uid="{6B00E2D9-D45A-4431-8BED-F241B496A5A9}">
          <x14:formula1>
            <xm:f>Emissionsfaktorer!$T$4:$T$16</xm:f>
          </x14:formula1>
          <xm:sqref>M8:M27</xm:sqref>
        </x14:dataValidation>
        <x14:dataValidation type="list" allowBlank="1" showInputMessage="1" showErrorMessage="1" prompt="Ange ifall konstverket har något drift eller underhållsbehov." xr:uid="{111B4D7D-1DAD-4547-98F7-7A4B7E194BFE}">
          <x14:formula1>
            <xm:f>Emissionsfaktorer!$X$4:$X$14</xm:f>
          </x14:formula1>
          <xm:sqref>C49:C53</xm:sqref>
        </x14:dataValidation>
        <x14:dataValidation type="list" allowBlank="1" showInputMessage="1" showErrorMessage="1" promptTitle="(Vid behov)" prompt="Ange transportsätt för delsträcka 3 för konstverket från atelje/verktstad till utsällningsplats. " xr:uid="{9337CFC0-CABC-440F-A837-B5320D383889}">
          <x14:formula1>
            <xm:f>Emissionsfaktorer!$T$4:$T$16</xm:f>
          </x14:formula1>
          <xm:sqref>G32</xm:sqref>
        </x14:dataValidation>
        <x14:dataValidation type="list" allowBlank="1" showInputMessage="1" showErrorMessage="1" prompt="Välj typ av materialbearbetning." xr:uid="{1EFDC781-CF90-4C4E-8D8B-284BD4BAC044}">
          <x14:formula1>
            <xm:f>Emissionsfaktorer!$P$77:$Z$77</xm:f>
          </x14:formula1>
          <xm:sqref>G8:G27</xm:sqref>
        </x14:dataValidation>
        <x14:dataValidation type="list" allowBlank="1" showInputMessage="1" showErrorMessage="1" prompt="Ange resor för konstnären. Resor avser persontransport, ej transport av material." xr:uid="{226616D2-BCA4-4404-BCCA-B7BE688A129B}">
          <x14:formula1>
            <xm:f>Emissionsfaktorer!$AC$4:$AC$17</xm:f>
          </x14:formula1>
          <xm:sqref>C36</xm:sqref>
        </x14:dataValidation>
        <x14:dataValidation type="list" allowBlank="1" showInputMessage="1" showErrorMessage="1" prompt="Ange eventuella anläggningsarbeten." xr:uid="{7CF5CF87-4779-467E-8DE1-82CF3F550B49}">
          <x14:formula1>
            <xm:f>Emissionsfaktorer!$O$4:$O$12</xm:f>
          </x14:formula1>
          <xm:sqref>C40</xm:sqref>
        </x14:dataValidation>
        <x14:dataValidation type="list" allowBlank="1" showInputMessage="1" showErrorMessage="1" prompt="Ange transportsätt för delsträcka 1 för konstverket från atelje/verktstad till utsällningsplats. " xr:uid="{5A326B5B-F1FB-4748-B6D1-E1691EB42FCF}">
          <x14:formula1>
            <xm:f>Emissionsfaktorer!$T$4:$T$16</xm:f>
          </x14:formula1>
          <xm:sqref>C32</xm:sqref>
        </x14:dataValidation>
        <x14:dataValidation type="list" allowBlank="1" showInputMessage="1" showErrorMessage="1" promptTitle="(Vid behov)" prompt="Ange transportsätt för delsträcka 2 för konstverket från atelje/verktstad till utsällningsplats. " xr:uid="{F364E7D8-5432-433E-BCF3-5499445A2A71}">
          <x14:formula1>
            <xm:f>Emissionsfaktorer!$T$4:$T$16</xm:f>
          </x14:formula1>
          <xm:sqref>E32</xm:sqref>
        </x14:dataValidation>
        <x14:dataValidation type="list" showInputMessage="1" showErrorMessage="1" promptTitle="(Vid behov)" prompt="Välj transportsätt och (om nödvändigt) geografi för delsträcka 3." xr:uid="{59285713-6188-4DC5-9047-9172E8DC48AC}">
          <x14:formula1>
            <xm:f>Emissionsfaktorer!$T$4:$T$16</xm:f>
          </x14:formula1>
          <xm:sqref>O8:O27</xm:sqref>
        </x14:dataValidation>
        <x14:dataValidation type="list" allowBlank="1" showInputMessage="1" showErrorMessage="1" promptTitle="(Vid behov)" prompt="Ange resor för konstnären. Resor avser persontransport, ej transport av material." xr:uid="{0E15D78B-CCEA-4E9A-BF66-81B189F7F59A}">
          <x14:formula1>
            <xm:f>Emissionsfaktorer!$AC$4:$AC$17</xm:f>
          </x14:formula1>
          <xm:sqref>E36 G36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C2C93-2A26-40FD-9346-B53332398032}">
  <sheetPr>
    <pageSetUpPr fitToPage="1"/>
  </sheetPr>
  <dimension ref="A1:L120"/>
  <sheetViews>
    <sheetView showGridLines="0" tabSelected="1" view="pageBreakPreview" zoomScale="90" zoomScaleNormal="40" zoomScaleSheetLayoutView="90" zoomScalePageLayoutView="70" workbookViewId="0">
      <selection activeCell="P15" sqref="P15"/>
    </sheetView>
  </sheetViews>
  <sheetFormatPr defaultColWidth="9.1796875" defaultRowHeight="14.5" x14ac:dyDescent="0.35"/>
  <cols>
    <col min="1" max="16384" width="9.1796875" style="81"/>
  </cols>
  <sheetData>
    <row r="1" spans="1:12" ht="15" customHeight="1" x14ac:dyDescent="0.35">
      <c r="A1" s="82"/>
      <c r="B1" s="83"/>
      <c r="C1" s="83"/>
      <c r="D1" s="83"/>
      <c r="E1" s="83"/>
      <c r="F1" s="83"/>
      <c r="G1" s="83"/>
      <c r="H1" s="83"/>
      <c r="I1" s="83"/>
      <c r="J1" s="83"/>
      <c r="K1" s="83"/>
      <c r="L1" s="84"/>
    </row>
    <row r="2" spans="1:12" ht="15" customHeight="1" x14ac:dyDescent="0.35">
      <c r="A2" s="85"/>
      <c r="L2" s="86"/>
    </row>
    <row r="3" spans="1:12" ht="15" customHeight="1" x14ac:dyDescent="0.35">
      <c r="A3" s="85"/>
      <c r="L3" s="86"/>
    </row>
    <row r="4" spans="1:12" ht="15" customHeight="1" x14ac:dyDescent="0.35">
      <c r="A4" s="85"/>
      <c r="L4" s="86"/>
    </row>
    <row r="5" spans="1:12" ht="15" customHeight="1" x14ac:dyDescent="0.35">
      <c r="A5" s="85"/>
      <c r="L5" s="86"/>
    </row>
    <row r="6" spans="1:12" ht="15" customHeight="1" x14ac:dyDescent="0.35">
      <c r="A6" s="85"/>
      <c r="L6" s="86"/>
    </row>
    <row r="7" spans="1:12" ht="15" customHeight="1" x14ac:dyDescent="0.35">
      <c r="A7" s="85"/>
      <c r="L7" s="86"/>
    </row>
    <row r="8" spans="1:12" ht="15" customHeight="1" x14ac:dyDescent="0.35">
      <c r="A8" s="179" t="str">
        <f>"Klimatpåverkan från konstverket "&amp;Indata!$D$2&amp;"."</f>
        <v>Klimatpåverkan från konstverket .</v>
      </c>
      <c r="B8" s="180"/>
      <c r="C8" s="180"/>
      <c r="D8" s="180"/>
      <c r="E8" s="180"/>
      <c r="F8" s="180"/>
      <c r="G8" s="180"/>
      <c r="H8" s="180"/>
      <c r="I8" s="180"/>
      <c r="J8" s="180"/>
      <c r="K8" s="180"/>
      <c r="L8" s="181"/>
    </row>
    <row r="9" spans="1:12" ht="15" customHeight="1" x14ac:dyDescent="0.35">
      <c r="A9" s="179"/>
      <c r="B9" s="180"/>
      <c r="C9" s="180"/>
      <c r="D9" s="180"/>
      <c r="E9" s="180"/>
      <c r="F9" s="180"/>
      <c r="G9" s="180"/>
      <c r="H9" s="180"/>
      <c r="I9" s="180"/>
      <c r="J9" s="180"/>
      <c r="K9" s="180"/>
      <c r="L9" s="181"/>
    </row>
    <row r="10" spans="1:12" ht="15" customHeight="1" x14ac:dyDescent="0.35">
      <c r="A10" s="179"/>
      <c r="B10" s="180"/>
      <c r="C10" s="180"/>
      <c r="D10" s="180"/>
      <c r="E10" s="180"/>
      <c r="F10" s="180"/>
      <c r="G10" s="180"/>
      <c r="H10" s="180"/>
      <c r="I10" s="180"/>
      <c r="J10" s="180"/>
      <c r="K10" s="180"/>
      <c r="L10" s="181"/>
    </row>
    <row r="11" spans="1:12" ht="15" customHeight="1" x14ac:dyDescent="0.35">
      <c r="A11" s="176" t="e">
        <f>"Den totala klimatpåverkan från konstverket uppgår till "&amp;Indata!$G$71&amp;" kg CO2e. Av dessa "&amp;Indata!$G$71&amp;" kg CO2e står tillverkningen av materialen samt transporten av materialen och materialbearbetningen för "&amp;Indata!$H$64+Indata!$H$65+Indata!$H$66&amp;" %, installationen av konstverket står för "&amp;Indata!$H$67+Indata!$H$68+Indata!$H$69&amp;", % och drift och underhåll för "&amp;Indata!$H$70&amp;" %. Konstverkets ger upphov till klimatpåverkan motsvarande "&amp;ROUND(Indata!$G$71/Emissionsfaktorer!$U$11/70.8,0)&amp;" resor mellan Uppsala och Stockholm med en dieseldriven personbil, kolinlagringen från "&amp;ROUND(Indata!$G$71/Emissionsfaktorer!$AJ$4,0)&amp;" nyplanterade stadsträd eller byggandet av "&amp;ROUND(Indata!$G$71/Emissionsfaktorer!$AM$4,0)&amp;" kvadratmeter förskola."</f>
        <v>#DIV/0!</v>
      </c>
      <c r="B11" s="177"/>
      <c r="C11" s="177"/>
      <c r="D11" s="177"/>
      <c r="E11" s="177"/>
      <c r="F11" s="177"/>
      <c r="G11" s="177"/>
      <c r="H11" s="177"/>
      <c r="I11" s="177"/>
      <c r="J11" s="177"/>
      <c r="K11" s="177"/>
      <c r="L11" s="178"/>
    </row>
    <row r="12" spans="1:12" ht="15" customHeight="1" x14ac:dyDescent="0.35">
      <c r="A12" s="176"/>
      <c r="B12" s="177"/>
      <c r="C12" s="177"/>
      <c r="D12" s="177"/>
      <c r="E12" s="177"/>
      <c r="F12" s="177"/>
      <c r="G12" s="177"/>
      <c r="H12" s="177"/>
      <c r="I12" s="177"/>
      <c r="J12" s="177"/>
      <c r="K12" s="177"/>
      <c r="L12" s="178"/>
    </row>
    <row r="13" spans="1:12" ht="15" customHeight="1" x14ac:dyDescent="0.35">
      <c r="A13" s="176"/>
      <c r="B13" s="177"/>
      <c r="C13" s="177"/>
      <c r="D13" s="177"/>
      <c r="E13" s="177"/>
      <c r="F13" s="177"/>
      <c r="G13" s="177"/>
      <c r="H13" s="177"/>
      <c r="I13" s="177"/>
      <c r="J13" s="177"/>
      <c r="K13" s="177"/>
      <c r="L13" s="178"/>
    </row>
    <row r="14" spans="1:12" ht="15" customHeight="1" x14ac:dyDescent="0.35">
      <c r="A14" s="176"/>
      <c r="B14" s="177"/>
      <c r="C14" s="177"/>
      <c r="D14" s="177"/>
      <c r="E14" s="177"/>
      <c r="F14" s="177"/>
      <c r="G14" s="177"/>
      <c r="H14" s="177"/>
      <c r="I14" s="177"/>
      <c r="J14" s="177"/>
      <c r="K14" s="177"/>
      <c r="L14" s="178"/>
    </row>
    <row r="15" spans="1:12" ht="15" customHeight="1" x14ac:dyDescent="0.35">
      <c r="A15" s="176"/>
      <c r="B15" s="177"/>
      <c r="C15" s="177"/>
      <c r="D15" s="177"/>
      <c r="E15" s="177"/>
      <c r="F15" s="177"/>
      <c r="G15" s="177"/>
      <c r="H15" s="177"/>
      <c r="I15" s="177"/>
      <c r="J15" s="177"/>
      <c r="K15" s="177"/>
      <c r="L15" s="178"/>
    </row>
    <row r="16" spans="1:12" ht="15" customHeight="1" x14ac:dyDescent="0.35">
      <c r="A16" s="176"/>
      <c r="B16" s="177"/>
      <c r="C16" s="177"/>
      <c r="D16" s="177"/>
      <c r="E16" s="177"/>
      <c r="F16" s="177"/>
      <c r="G16" s="177"/>
      <c r="H16" s="177"/>
      <c r="I16" s="177"/>
      <c r="J16" s="177"/>
      <c r="K16" s="177"/>
      <c r="L16" s="178"/>
    </row>
    <row r="17" spans="1:12" ht="15" customHeight="1" x14ac:dyDescent="0.35">
      <c r="A17" s="176"/>
      <c r="B17" s="177"/>
      <c r="C17" s="177"/>
      <c r="D17" s="177"/>
      <c r="E17" s="177"/>
      <c r="F17" s="177"/>
      <c r="G17" s="177"/>
      <c r="H17" s="177"/>
      <c r="I17" s="177"/>
      <c r="J17" s="177"/>
      <c r="K17" s="177"/>
      <c r="L17" s="178"/>
    </row>
    <row r="18" spans="1:12" ht="15" customHeight="1" x14ac:dyDescent="0.35">
      <c r="A18" s="176"/>
      <c r="B18" s="177"/>
      <c r="C18" s="177"/>
      <c r="D18" s="177"/>
      <c r="E18" s="177"/>
      <c r="F18" s="177"/>
      <c r="G18" s="177"/>
      <c r="H18" s="177"/>
      <c r="I18" s="177"/>
      <c r="J18" s="177"/>
      <c r="K18" s="177"/>
      <c r="L18" s="178"/>
    </row>
    <row r="19" spans="1:12" ht="15" customHeight="1" x14ac:dyDescent="0.35">
      <c r="A19" s="176"/>
      <c r="B19" s="177"/>
      <c r="C19" s="177"/>
      <c r="D19" s="177"/>
      <c r="E19" s="177"/>
      <c r="F19" s="177"/>
      <c r="G19" s="177"/>
      <c r="H19" s="177"/>
      <c r="I19" s="177"/>
      <c r="J19" s="177"/>
      <c r="K19" s="177"/>
      <c r="L19" s="178"/>
    </row>
    <row r="20" spans="1:12" ht="15" customHeight="1" x14ac:dyDescent="0.35">
      <c r="A20" s="176"/>
      <c r="B20" s="177"/>
      <c r="C20" s="177"/>
      <c r="D20" s="177"/>
      <c r="E20" s="177"/>
      <c r="F20" s="177"/>
      <c r="G20" s="177"/>
      <c r="H20" s="177"/>
      <c r="I20" s="177"/>
      <c r="J20" s="177"/>
      <c r="K20" s="177"/>
      <c r="L20" s="178"/>
    </row>
    <row r="21" spans="1:12" ht="15" customHeight="1" x14ac:dyDescent="0.35">
      <c r="A21" s="85"/>
      <c r="L21" s="86"/>
    </row>
    <row r="22" spans="1:12" ht="15" customHeight="1" x14ac:dyDescent="0.35">
      <c r="A22" s="85"/>
      <c r="L22" s="86"/>
    </row>
    <row r="23" spans="1:12" ht="15" customHeight="1" x14ac:dyDescent="0.35">
      <c r="A23" s="85"/>
      <c r="L23" s="86"/>
    </row>
    <row r="24" spans="1:12" ht="15" customHeight="1" x14ac:dyDescent="0.35">
      <c r="A24" s="85"/>
      <c r="L24" s="86"/>
    </row>
    <row r="25" spans="1:12" ht="15" customHeight="1" x14ac:dyDescent="0.35">
      <c r="A25" s="85"/>
      <c r="L25" s="86"/>
    </row>
    <row r="26" spans="1:12" ht="15" customHeight="1" x14ac:dyDescent="0.35">
      <c r="A26" s="85"/>
      <c r="L26" s="86"/>
    </row>
    <row r="27" spans="1:12" ht="15" customHeight="1" x14ac:dyDescent="0.35">
      <c r="A27" s="85"/>
      <c r="L27" s="86"/>
    </row>
    <row r="28" spans="1:12" ht="15" customHeight="1" x14ac:dyDescent="0.35">
      <c r="A28" s="85"/>
      <c r="L28" s="86"/>
    </row>
    <row r="29" spans="1:12" ht="15" customHeight="1" x14ac:dyDescent="0.35">
      <c r="A29" s="85"/>
      <c r="L29" s="86"/>
    </row>
    <row r="30" spans="1:12" ht="15" customHeight="1" x14ac:dyDescent="0.35">
      <c r="A30" s="85"/>
      <c r="L30" s="86"/>
    </row>
    <row r="31" spans="1:12" ht="15" customHeight="1" x14ac:dyDescent="0.35">
      <c r="A31" s="85"/>
      <c r="L31" s="86"/>
    </row>
    <row r="32" spans="1:12" ht="15" customHeight="1" x14ac:dyDescent="0.35">
      <c r="A32" s="85"/>
      <c r="L32" s="86"/>
    </row>
    <row r="33" spans="1:12" ht="15" customHeight="1" x14ac:dyDescent="0.35">
      <c r="A33" s="85"/>
      <c r="L33" s="86"/>
    </row>
    <row r="34" spans="1:12" ht="15" customHeight="1" x14ac:dyDescent="0.35">
      <c r="A34" s="85"/>
      <c r="L34" s="86"/>
    </row>
    <row r="35" spans="1:12" ht="15" customHeight="1" x14ac:dyDescent="0.35">
      <c r="A35" s="85"/>
      <c r="L35" s="86"/>
    </row>
    <row r="36" spans="1:12" ht="15" customHeight="1" x14ac:dyDescent="0.35">
      <c r="A36" s="85"/>
      <c r="L36" s="86"/>
    </row>
    <row r="37" spans="1:12" ht="15" customHeight="1" x14ac:dyDescent="0.35">
      <c r="A37" s="85"/>
      <c r="L37" s="86"/>
    </row>
    <row r="38" spans="1:12" ht="15" customHeight="1" x14ac:dyDescent="0.35">
      <c r="A38" s="85"/>
      <c r="L38" s="86"/>
    </row>
    <row r="39" spans="1:12" ht="15" customHeight="1" x14ac:dyDescent="0.35">
      <c r="A39" s="85"/>
      <c r="L39" s="87"/>
    </row>
    <row r="40" spans="1:12" ht="15" customHeight="1" x14ac:dyDescent="0.35">
      <c r="A40" s="88"/>
      <c r="L40" s="87"/>
    </row>
    <row r="41" spans="1:12" ht="15" customHeight="1" x14ac:dyDescent="0.35">
      <c r="A41" s="88"/>
      <c r="L41" s="87"/>
    </row>
    <row r="42" spans="1:12" ht="15" customHeight="1" x14ac:dyDescent="0.35">
      <c r="A42" s="88"/>
      <c r="B42" s="89"/>
      <c r="C42" s="89"/>
      <c r="D42" s="89"/>
      <c r="E42" s="89"/>
      <c r="F42" s="89"/>
      <c r="G42" s="89"/>
      <c r="H42" s="89"/>
      <c r="I42" s="89"/>
      <c r="J42" s="89"/>
      <c r="K42" s="89"/>
      <c r="L42" s="87"/>
    </row>
    <row r="43" spans="1:12" ht="15" customHeight="1" x14ac:dyDescent="0.35">
      <c r="A43" s="88"/>
      <c r="B43" s="89"/>
      <c r="C43" s="89"/>
      <c r="D43" s="89"/>
      <c r="E43" s="89"/>
      <c r="F43" s="89"/>
      <c r="G43" s="89"/>
      <c r="H43" s="89"/>
      <c r="I43" s="89"/>
      <c r="J43" s="89"/>
      <c r="K43" s="89"/>
      <c r="L43" s="87"/>
    </row>
    <row r="44" spans="1:12" ht="15" customHeight="1" x14ac:dyDescent="0.35">
      <c r="A44" s="85"/>
      <c r="L44" s="86"/>
    </row>
    <row r="45" spans="1:12" ht="15" customHeight="1" x14ac:dyDescent="0.35">
      <c r="A45" s="85"/>
      <c r="L45" s="86"/>
    </row>
    <row r="46" spans="1:12" ht="15" customHeight="1" x14ac:dyDescent="0.35">
      <c r="A46" s="85"/>
      <c r="L46" s="86"/>
    </row>
    <row r="47" spans="1:12" ht="15" customHeight="1" x14ac:dyDescent="0.35">
      <c r="A47" s="85"/>
      <c r="L47" s="86"/>
    </row>
    <row r="48" spans="1:12" ht="15" customHeight="1" x14ac:dyDescent="0.35">
      <c r="A48" s="85"/>
      <c r="L48" s="86"/>
    </row>
    <row r="49" spans="1:12" ht="15" customHeight="1" x14ac:dyDescent="0.35">
      <c r="A49" s="85"/>
      <c r="L49" s="86"/>
    </row>
    <row r="50" spans="1:12" ht="15" customHeight="1" x14ac:dyDescent="0.35">
      <c r="A50" s="85"/>
      <c r="L50" s="86"/>
    </row>
    <row r="51" spans="1:12" ht="15" customHeight="1" x14ac:dyDescent="0.35">
      <c r="A51" s="85"/>
      <c r="L51" s="86"/>
    </row>
    <row r="52" spans="1:12" ht="15" customHeight="1" x14ac:dyDescent="0.35">
      <c r="A52" s="85"/>
      <c r="L52" s="86"/>
    </row>
    <row r="53" spans="1:12" ht="15" customHeight="1" x14ac:dyDescent="0.35">
      <c r="A53" s="85"/>
      <c r="L53" s="86"/>
    </row>
    <row r="54" spans="1:12" ht="15" customHeight="1" x14ac:dyDescent="0.35">
      <c r="A54" s="85"/>
      <c r="L54" s="86"/>
    </row>
    <row r="55" spans="1:12" ht="15" customHeight="1" x14ac:dyDescent="0.35">
      <c r="A55" s="85"/>
      <c r="L55" s="86"/>
    </row>
    <row r="56" spans="1:12" ht="15" customHeight="1" x14ac:dyDescent="0.35">
      <c r="A56" s="85"/>
      <c r="L56" s="86"/>
    </row>
    <row r="57" spans="1:12" ht="15" customHeight="1" x14ac:dyDescent="0.35">
      <c r="A57" s="85"/>
      <c r="L57" s="86"/>
    </row>
    <row r="58" spans="1:12" ht="15" customHeight="1" x14ac:dyDescent="0.35">
      <c r="A58" s="85"/>
      <c r="L58" s="86"/>
    </row>
    <row r="59" spans="1:12" ht="15" customHeight="1" thickBot="1" x14ac:dyDescent="0.4">
      <c r="A59" s="85"/>
      <c r="G59" s="91"/>
      <c r="L59" s="86"/>
    </row>
    <row r="60" spans="1:12" ht="15" customHeight="1" thickBot="1" x14ac:dyDescent="0.4">
      <c r="A60" s="90"/>
      <c r="B60" s="91"/>
      <c r="C60" s="91"/>
      <c r="D60" s="91"/>
      <c r="E60" s="91"/>
      <c r="F60" s="91"/>
      <c r="H60" s="91"/>
      <c r="I60" s="91"/>
      <c r="J60" s="91"/>
      <c r="K60" s="91"/>
      <c r="L60" s="92"/>
    </row>
    <row r="61" spans="1:12" ht="15" customHeight="1" x14ac:dyDescent="0.35">
      <c r="A61" s="82"/>
      <c r="B61" s="83"/>
      <c r="C61" s="83"/>
      <c r="D61" s="83"/>
      <c r="E61" s="83"/>
      <c r="F61" s="83"/>
      <c r="G61" s="83"/>
      <c r="H61" s="83"/>
      <c r="I61" s="83"/>
      <c r="J61" s="83"/>
      <c r="K61" s="83"/>
      <c r="L61" s="84"/>
    </row>
    <row r="62" spans="1:12" ht="15" customHeight="1" x14ac:dyDescent="0.35">
      <c r="A62" s="85"/>
      <c r="B62" s="93"/>
      <c r="C62" s="93"/>
      <c r="D62" s="93"/>
      <c r="E62" s="93"/>
      <c r="F62" s="93"/>
      <c r="G62" s="93"/>
      <c r="H62" s="93"/>
      <c r="I62" s="93"/>
      <c r="J62" s="93"/>
      <c r="K62" s="93"/>
      <c r="L62" s="94"/>
    </row>
    <row r="63" spans="1:12" ht="15" customHeight="1" x14ac:dyDescent="0.35">
      <c r="A63" s="95"/>
      <c r="B63" s="93"/>
      <c r="C63" s="93"/>
      <c r="D63" s="93"/>
      <c r="E63" s="93"/>
      <c r="F63" s="93"/>
      <c r="G63" s="93"/>
      <c r="H63" s="93"/>
      <c r="I63" s="93"/>
      <c r="J63" s="93"/>
      <c r="K63" s="93"/>
      <c r="L63" s="94"/>
    </row>
    <row r="64" spans="1:12" ht="15" customHeight="1" x14ac:dyDescent="0.35">
      <c r="A64" s="95"/>
      <c r="B64" s="93"/>
      <c r="C64" s="93"/>
      <c r="D64" s="93"/>
      <c r="E64" s="93"/>
      <c r="F64" s="93"/>
      <c r="G64" s="93"/>
      <c r="H64" s="93"/>
      <c r="I64" s="93"/>
      <c r="J64" s="93"/>
      <c r="K64" s="93"/>
      <c r="L64" s="94"/>
    </row>
    <row r="65" spans="1:12" ht="15" customHeight="1" x14ac:dyDescent="0.35">
      <c r="A65" s="85"/>
      <c r="B65" s="93"/>
      <c r="C65" s="93"/>
      <c r="D65" s="93"/>
      <c r="E65" s="93"/>
      <c r="F65" s="93"/>
      <c r="G65" s="93"/>
      <c r="H65" s="93"/>
      <c r="I65" s="93"/>
      <c r="J65" s="93"/>
      <c r="K65" s="93"/>
      <c r="L65" s="94"/>
    </row>
    <row r="66" spans="1:12" ht="15" customHeight="1" x14ac:dyDescent="0.35">
      <c r="A66" s="95"/>
      <c r="B66" s="93"/>
      <c r="C66" s="93"/>
      <c r="D66" s="93"/>
      <c r="E66" s="93"/>
      <c r="F66" s="93"/>
      <c r="G66" s="93"/>
      <c r="H66" s="93"/>
      <c r="I66" s="93"/>
      <c r="J66" s="93"/>
      <c r="K66" s="93"/>
      <c r="L66" s="94"/>
    </row>
    <row r="67" spans="1:12" ht="15" customHeight="1" x14ac:dyDescent="0.35">
      <c r="A67" s="95"/>
      <c r="B67" s="93"/>
      <c r="C67" s="93"/>
      <c r="D67" s="93"/>
      <c r="E67" s="93"/>
      <c r="F67" s="93"/>
      <c r="G67" s="93"/>
      <c r="H67" s="93"/>
      <c r="I67" s="93"/>
      <c r="J67" s="93"/>
      <c r="K67" s="93"/>
      <c r="L67" s="94"/>
    </row>
    <row r="68" spans="1:12" ht="15" customHeight="1" x14ac:dyDescent="0.35">
      <c r="A68" s="176" t="e">
        <f>"Valet av material spelar en stor roll i produkters klimatpåverkan. För "&amp;Indata!$D$2&amp;" uppgår klimatpåverkan för materialproduktionen till "&amp;Indata!$D$64&amp;" kg CO2e, vilket är "&amp;Indata!$H$64&amp;" % av konstverkets totala klimatpåverkan för ett år. I cirkeldiagrammet nedan redovisas olika materialgruppers procentuella bidrag till konstverkets klimatpåverkan avseende materialproduktion."</f>
        <v>#DIV/0!</v>
      </c>
      <c r="B68" s="177"/>
      <c r="C68" s="177"/>
      <c r="D68" s="177"/>
      <c r="E68" s="177"/>
      <c r="F68" s="177"/>
      <c r="G68" s="177"/>
      <c r="H68" s="177"/>
      <c r="I68" s="177"/>
      <c r="J68" s="177"/>
      <c r="K68" s="177"/>
      <c r="L68" s="178"/>
    </row>
    <row r="69" spans="1:12" ht="15" customHeight="1" x14ac:dyDescent="0.35">
      <c r="A69" s="176"/>
      <c r="B69" s="177"/>
      <c r="C69" s="177"/>
      <c r="D69" s="177"/>
      <c r="E69" s="177"/>
      <c r="F69" s="177"/>
      <c r="G69" s="177"/>
      <c r="H69" s="177"/>
      <c r="I69" s="177"/>
      <c r="J69" s="177"/>
      <c r="K69" s="177"/>
      <c r="L69" s="178"/>
    </row>
    <row r="70" spans="1:12" ht="15" customHeight="1" x14ac:dyDescent="0.35">
      <c r="A70" s="176"/>
      <c r="B70" s="177"/>
      <c r="C70" s="177"/>
      <c r="D70" s="177"/>
      <c r="E70" s="177"/>
      <c r="F70" s="177"/>
      <c r="G70" s="177"/>
      <c r="H70" s="177"/>
      <c r="I70" s="177"/>
      <c r="J70" s="177"/>
      <c r="K70" s="177"/>
      <c r="L70" s="178"/>
    </row>
    <row r="71" spans="1:12" ht="15" customHeight="1" x14ac:dyDescent="0.35">
      <c r="A71" s="176"/>
      <c r="B71" s="177"/>
      <c r="C71" s="177"/>
      <c r="D71" s="177"/>
      <c r="E71" s="177"/>
      <c r="F71" s="177"/>
      <c r="G71" s="177"/>
      <c r="H71" s="177"/>
      <c r="I71" s="177"/>
      <c r="J71" s="177"/>
      <c r="K71" s="177"/>
      <c r="L71" s="178"/>
    </row>
    <row r="72" spans="1:12" ht="15" customHeight="1" x14ac:dyDescent="0.35">
      <c r="A72" s="176"/>
      <c r="B72" s="177"/>
      <c r="C72" s="177"/>
      <c r="D72" s="177"/>
      <c r="E72" s="177"/>
      <c r="F72" s="177"/>
      <c r="G72" s="177"/>
      <c r="H72" s="177"/>
      <c r="I72" s="177"/>
      <c r="J72" s="177"/>
      <c r="K72" s="177"/>
      <c r="L72" s="178"/>
    </row>
    <row r="73" spans="1:12" ht="15" customHeight="1" x14ac:dyDescent="0.35">
      <c r="A73" s="176"/>
      <c r="B73" s="177"/>
      <c r="C73" s="177"/>
      <c r="D73" s="177"/>
      <c r="E73" s="177"/>
      <c r="F73" s="177"/>
      <c r="G73" s="177"/>
      <c r="H73" s="177"/>
      <c r="I73" s="177"/>
      <c r="J73" s="177"/>
      <c r="K73" s="177"/>
      <c r="L73" s="178"/>
    </row>
    <row r="74" spans="1:12" ht="15" customHeight="1" x14ac:dyDescent="0.35">
      <c r="A74" s="176"/>
      <c r="B74" s="177"/>
      <c r="C74" s="177"/>
      <c r="D74" s="177"/>
      <c r="E74" s="177"/>
      <c r="F74" s="177"/>
      <c r="G74" s="177"/>
      <c r="H74" s="177"/>
      <c r="I74" s="177"/>
      <c r="J74" s="177"/>
      <c r="K74" s="177"/>
      <c r="L74" s="178"/>
    </row>
    <row r="75" spans="1:12" ht="15" customHeight="1" x14ac:dyDescent="0.35">
      <c r="A75" s="176"/>
      <c r="B75" s="177"/>
      <c r="C75" s="177"/>
      <c r="D75" s="177"/>
      <c r="E75" s="177"/>
      <c r="F75" s="177"/>
      <c r="G75" s="177"/>
      <c r="H75" s="177"/>
      <c r="I75" s="177"/>
      <c r="J75" s="177"/>
      <c r="K75" s="177"/>
      <c r="L75" s="178"/>
    </row>
    <row r="76" spans="1:12" ht="15" customHeight="1" x14ac:dyDescent="0.35">
      <c r="A76" s="176"/>
      <c r="B76" s="177"/>
      <c r="C76" s="177"/>
      <c r="D76" s="177"/>
      <c r="E76" s="177"/>
      <c r="F76" s="177"/>
      <c r="G76" s="177"/>
      <c r="H76" s="177"/>
      <c r="I76" s="177"/>
      <c r="J76" s="177"/>
      <c r="K76" s="177"/>
      <c r="L76" s="178"/>
    </row>
    <row r="77" spans="1:12" ht="15" customHeight="1" x14ac:dyDescent="0.35">
      <c r="A77" s="176"/>
      <c r="B77" s="177"/>
      <c r="C77" s="177"/>
      <c r="D77" s="177"/>
      <c r="E77" s="177"/>
      <c r="F77" s="177"/>
      <c r="G77" s="177"/>
      <c r="H77" s="177"/>
      <c r="I77" s="177"/>
      <c r="J77" s="177"/>
      <c r="K77" s="177"/>
      <c r="L77" s="178"/>
    </row>
    <row r="78" spans="1:12" ht="15" customHeight="1" x14ac:dyDescent="0.35">
      <c r="A78" s="176"/>
      <c r="B78" s="177"/>
      <c r="C78" s="177"/>
      <c r="D78" s="177"/>
      <c r="E78" s="177"/>
      <c r="F78" s="177"/>
      <c r="G78" s="177"/>
      <c r="H78" s="177"/>
      <c r="I78" s="177"/>
      <c r="J78" s="177"/>
      <c r="K78" s="177"/>
      <c r="L78" s="178"/>
    </row>
    <row r="79" spans="1:12" ht="15" customHeight="1" x14ac:dyDescent="0.35">
      <c r="A79" s="85"/>
      <c r="C79" s="96"/>
      <c r="D79" s="96"/>
      <c r="E79" s="96"/>
      <c r="F79" s="96"/>
      <c r="G79" s="96"/>
      <c r="H79" s="96"/>
      <c r="I79" s="96"/>
      <c r="J79" s="96"/>
      <c r="K79" s="96"/>
      <c r="L79" s="86"/>
    </row>
    <row r="80" spans="1:12" ht="15" customHeight="1" x14ac:dyDescent="0.35">
      <c r="A80" s="85"/>
      <c r="B80" s="96"/>
      <c r="C80" s="96"/>
      <c r="D80" s="96"/>
      <c r="E80" s="96"/>
      <c r="F80" s="96"/>
      <c r="G80" s="96"/>
      <c r="H80" s="96"/>
      <c r="I80" s="96"/>
      <c r="J80" s="96"/>
      <c r="K80" s="96"/>
      <c r="L80" s="86"/>
    </row>
    <row r="81" spans="1:12" ht="15" customHeight="1" x14ac:dyDescent="0.35">
      <c r="A81" s="85"/>
      <c r="B81" s="96"/>
      <c r="C81" s="96"/>
      <c r="D81" s="96"/>
      <c r="E81" s="96"/>
      <c r="F81" s="96"/>
      <c r="G81" s="96"/>
      <c r="H81" s="96"/>
      <c r="I81" s="96"/>
      <c r="J81" s="96"/>
      <c r="K81" s="96"/>
      <c r="L81" s="86"/>
    </row>
    <row r="82" spans="1:12" ht="15" customHeight="1" x14ac:dyDescent="0.35">
      <c r="A82" s="85"/>
      <c r="L82" s="86"/>
    </row>
    <row r="83" spans="1:12" ht="15" customHeight="1" x14ac:dyDescent="0.35">
      <c r="A83" s="85"/>
      <c r="L83" s="86"/>
    </row>
    <row r="84" spans="1:12" ht="15" customHeight="1" x14ac:dyDescent="0.35">
      <c r="A84" s="85"/>
      <c r="L84" s="86"/>
    </row>
    <row r="85" spans="1:12" ht="15" customHeight="1" x14ac:dyDescent="0.35">
      <c r="A85" s="85"/>
      <c r="L85" s="86"/>
    </row>
    <row r="86" spans="1:12" ht="15" customHeight="1" x14ac:dyDescent="0.35">
      <c r="A86" s="85"/>
      <c r="L86" s="86"/>
    </row>
    <row r="87" spans="1:12" ht="15" customHeight="1" x14ac:dyDescent="0.35">
      <c r="A87" s="85"/>
      <c r="L87" s="86"/>
    </row>
    <row r="88" spans="1:12" ht="15" customHeight="1" x14ac:dyDescent="0.35">
      <c r="A88" s="85"/>
      <c r="L88" s="86"/>
    </row>
    <row r="89" spans="1:12" ht="15" customHeight="1" x14ac:dyDescent="0.35">
      <c r="A89" s="85"/>
      <c r="L89" s="86"/>
    </row>
    <row r="90" spans="1:12" ht="15" customHeight="1" x14ac:dyDescent="0.35">
      <c r="A90" s="85"/>
      <c r="L90" s="86"/>
    </row>
    <row r="91" spans="1:12" ht="15" customHeight="1" x14ac:dyDescent="0.35">
      <c r="A91" s="85"/>
      <c r="L91" s="86"/>
    </row>
    <row r="92" spans="1:12" ht="15" customHeight="1" x14ac:dyDescent="0.35">
      <c r="A92" s="85"/>
      <c r="L92" s="86"/>
    </row>
    <row r="93" spans="1:12" ht="15" customHeight="1" x14ac:dyDescent="0.35">
      <c r="A93" s="85"/>
      <c r="L93" s="86"/>
    </row>
    <row r="94" spans="1:12" ht="15" customHeight="1" x14ac:dyDescent="0.35">
      <c r="A94" s="85"/>
      <c r="L94" s="86"/>
    </row>
    <row r="95" spans="1:12" ht="15" customHeight="1" x14ac:dyDescent="0.35">
      <c r="A95" s="85"/>
      <c r="L95" s="86"/>
    </row>
    <row r="96" spans="1:12" ht="15" customHeight="1" x14ac:dyDescent="0.35">
      <c r="A96" s="85"/>
      <c r="L96" s="86"/>
    </row>
    <row r="97" spans="1:12" ht="15" customHeight="1" x14ac:dyDescent="0.35">
      <c r="A97" s="85"/>
      <c r="L97" s="86"/>
    </row>
    <row r="98" spans="1:12" ht="15" customHeight="1" x14ac:dyDescent="0.35">
      <c r="A98" s="85"/>
      <c r="L98" s="86"/>
    </row>
    <row r="99" spans="1:12" ht="15" customHeight="1" x14ac:dyDescent="0.35">
      <c r="A99" s="85"/>
      <c r="L99" s="86"/>
    </row>
    <row r="100" spans="1:12" ht="15" customHeight="1" x14ac:dyDescent="0.35">
      <c r="A100" s="85"/>
      <c r="L100" s="86"/>
    </row>
    <row r="101" spans="1:12" ht="15" customHeight="1" x14ac:dyDescent="0.35">
      <c r="A101" s="85"/>
      <c r="L101" s="86"/>
    </row>
    <row r="102" spans="1:12" ht="15" customHeight="1" x14ac:dyDescent="0.35">
      <c r="A102" s="85"/>
      <c r="L102" s="86"/>
    </row>
    <row r="103" spans="1:12" ht="15" customHeight="1" x14ac:dyDescent="0.35">
      <c r="A103" s="85"/>
      <c r="L103" s="86"/>
    </row>
    <row r="104" spans="1:12" ht="15" customHeight="1" x14ac:dyDescent="0.35">
      <c r="A104" s="85"/>
      <c r="L104" s="86"/>
    </row>
    <row r="105" spans="1:12" ht="15" customHeight="1" x14ac:dyDescent="0.35">
      <c r="A105" s="85"/>
      <c r="L105" s="86"/>
    </row>
    <row r="106" spans="1:12" ht="15" customHeight="1" x14ac:dyDescent="0.35">
      <c r="A106" s="85"/>
      <c r="L106" s="86"/>
    </row>
    <row r="107" spans="1:12" ht="15" customHeight="1" x14ac:dyDescent="0.35">
      <c r="A107" s="85"/>
      <c r="L107" s="86"/>
    </row>
    <row r="108" spans="1:12" ht="15" customHeight="1" x14ac:dyDescent="0.35">
      <c r="A108" s="85"/>
      <c r="L108" s="86"/>
    </row>
    <row r="109" spans="1:12" ht="15" customHeight="1" x14ac:dyDescent="0.35">
      <c r="A109" s="130" t="s">
        <v>53</v>
      </c>
      <c r="L109" s="86"/>
    </row>
    <row r="110" spans="1:12" ht="15" customHeight="1" x14ac:dyDescent="0.35">
      <c r="A110" s="184" t="str">
        <f>IF(ISBLANK(Indata!$E$3),"",Indata!$E$3)</f>
        <v/>
      </c>
      <c r="B110" s="185"/>
      <c r="C110" s="185"/>
      <c r="D110" s="185"/>
      <c r="E110" s="185"/>
      <c r="F110" s="185"/>
      <c r="G110" s="185"/>
      <c r="H110" s="185"/>
      <c r="I110" s="185"/>
      <c r="J110" s="185"/>
      <c r="K110" s="185"/>
      <c r="L110" s="186"/>
    </row>
    <row r="111" spans="1:12" ht="15" customHeight="1" x14ac:dyDescent="0.35">
      <c r="A111" s="184"/>
      <c r="B111" s="185"/>
      <c r="C111" s="185"/>
      <c r="D111" s="185"/>
      <c r="E111" s="185"/>
      <c r="F111" s="185"/>
      <c r="G111" s="185"/>
      <c r="H111" s="185"/>
      <c r="I111" s="185"/>
      <c r="J111" s="185"/>
      <c r="K111" s="185"/>
      <c r="L111" s="186"/>
    </row>
    <row r="112" spans="1:12" ht="15" customHeight="1" x14ac:dyDescent="0.35">
      <c r="A112" s="184"/>
      <c r="B112" s="185"/>
      <c r="C112" s="185"/>
      <c r="D112" s="185"/>
      <c r="E112" s="185"/>
      <c r="F112" s="185"/>
      <c r="G112" s="185"/>
      <c r="H112" s="185"/>
      <c r="I112" s="185"/>
      <c r="J112" s="185"/>
      <c r="K112" s="185"/>
      <c r="L112" s="186"/>
    </row>
    <row r="113" spans="1:12" ht="15" customHeight="1" x14ac:dyDescent="0.35">
      <c r="A113" s="184"/>
      <c r="B113" s="185"/>
      <c r="C113" s="185"/>
      <c r="D113" s="185"/>
      <c r="E113" s="185"/>
      <c r="F113" s="185"/>
      <c r="G113" s="185"/>
      <c r="H113" s="185"/>
      <c r="I113" s="185"/>
      <c r="J113" s="185"/>
      <c r="K113" s="185"/>
      <c r="L113" s="186"/>
    </row>
    <row r="114" spans="1:12" ht="15" customHeight="1" x14ac:dyDescent="0.35">
      <c r="A114" s="184"/>
      <c r="B114" s="185"/>
      <c r="C114" s="185"/>
      <c r="D114" s="185"/>
      <c r="E114" s="185"/>
      <c r="F114" s="185"/>
      <c r="G114" s="185"/>
      <c r="H114" s="185"/>
      <c r="I114" s="185"/>
      <c r="J114" s="185"/>
      <c r="K114" s="185"/>
      <c r="L114" s="186"/>
    </row>
    <row r="115" spans="1:12" ht="15" customHeight="1" x14ac:dyDescent="0.35">
      <c r="A115" s="85"/>
      <c r="B115" s="182" t="str">
        <f>"Verktyget är utvecklat av Tyréns Sverige AB."</f>
        <v>Verktyget är utvecklat av Tyréns Sverige AB.</v>
      </c>
      <c r="C115" s="182"/>
      <c r="D115" s="182"/>
      <c r="E115" s="182"/>
      <c r="F115" s="182"/>
      <c r="G115" s="182"/>
      <c r="H115" s="182"/>
      <c r="I115" s="182"/>
      <c r="J115" s="182"/>
      <c r="K115" s="182"/>
      <c r="L115" s="86"/>
    </row>
    <row r="116" spans="1:12" ht="15" customHeight="1" x14ac:dyDescent="0.35">
      <c r="A116" s="85"/>
      <c r="B116" s="182" t="str">
        <f>"För support, maila emanuel.lindback@tyrens.se"</f>
        <v>För support, maila emanuel.lindback@tyrens.se</v>
      </c>
      <c r="C116" s="182"/>
      <c r="D116" s="182"/>
      <c r="E116" s="182"/>
      <c r="F116" s="182"/>
      <c r="G116" s="182"/>
      <c r="H116" s="182"/>
      <c r="I116" s="182"/>
      <c r="J116" s="182"/>
      <c r="K116" s="182"/>
      <c r="L116" s="86"/>
    </row>
    <row r="117" spans="1:12" x14ac:dyDescent="0.35">
      <c r="A117" s="85"/>
      <c r="B117" s="183" t="str">
        <f>"Underlaget till rapporten är framtagen av: "&amp;Indata!$D$4</f>
        <v xml:space="preserve">Underlaget till rapporten är framtagen av: </v>
      </c>
      <c r="C117" s="183"/>
      <c r="D117" s="183"/>
      <c r="E117" s="183"/>
      <c r="F117" s="183"/>
      <c r="G117" s="183"/>
      <c r="H117" s="183"/>
      <c r="I117" s="183"/>
      <c r="J117" s="183"/>
      <c r="K117" s="183"/>
      <c r="L117" s="86"/>
    </row>
    <row r="118" spans="1:12" ht="15" customHeight="1" x14ac:dyDescent="0.35">
      <c r="A118" s="85"/>
      <c r="B118" s="183"/>
      <c r="C118" s="183"/>
      <c r="D118" s="183"/>
      <c r="E118" s="183"/>
      <c r="F118" s="183"/>
      <c r="G118" s="183"/>
      <c r="H118" s="183"/>
      <c r="I118" s="183"/>
      <c r="J118" s="183"/>
      <c r="K118" s="183"/>
      <c r="L118" s="86"/>
    </row>
    <row r="119" spans="1:12" ht="15" customHeight="1" thickBot="1" x14ac:dyDescent="0.4">
      <c r="A119" s="90"/>
      <c r="B119" s="91"/>
      <c r="C119" s="98"/>
      <c r="D119" s="98"/>
      <c r="E119" s="98"/>
      <c r="F119" s="98"/>
      <c r="G119" s="98"/>
      <c r="H119" s="98"/>
      <c r="I119" s="98"/>
      <c r="J119" s="98"/>
      <c r="K119" s="98"/>
      <c r="L119" s="92"/>
    </row>
    <row r="120" spans="1:12" x14ac:dyDescent="0.35">
      <c r="B120" s="97"/>
      <c r="C120" s="97"/>
      <c r="D120" s="97"/>
      <c r="E120" s="97"/>
      <c r="F120" s="97"/>
      <c r="G120" s="97"/>
      <c r="H120" s="97"/>
      <c r="I120" s="97"/>
      <c r="J120" s="97"/>
      <c r="K120" s="97"/>
    </row>
  </sheetData>
  <sheetProtection algorithmName="SHA-512" hashValue="/oCGRlTuU7f/moypHxtEj8ThSay5yvm089RHxw7C0XcRC8QfkYOWok7jE/f/ZGr7+CuvsDilwVQUomYw+7Cpsg==" saltValue="fvv2qnAll59PjFJoU1yjeQ==" spinCount="100000" sheet="1" selectLockedCells="1"/>
  <mergeCells count="7">
    <mergeCell ref="A68:L78"/>
    <mergeCell ref="A8:L10"/>
    <mergeCell ref="B115:K115"/>
    <mergeCell ref="A11:L20"/>
    <mergeCell ref="B117:K118"/>
    <mergeCell ref="B116:K116"/>
    <mergeCell ref="A110:L114"/>
  </mergeCells>
  <printOptions horizontalCentered="1" verticalCentered="1"/>
  <pageMargins left="0.11811023622047245" right="0.11811023622047245" top="3.937007874015748E-2" bottom="3.937007874015748E-2" header="0" footer="0"/>
  <pageSetup paperSize="9" scale="91" fitToHeight="0" orientation="portrait" r:id="rId1"/>
  <rowBreaks count="2" manualBreakCount="2">
    <brk id="60" max="16383" man="1"/>
    <brk id="118"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CB936-51A0-4B58-B64A-A63630290092}">
  <dimension ref="A2:AP93"/>
  <sheetViews>
    <sheetView zoomScale="80" zoomScaleNormal="80" workbookViewId="0">
      <selection activeCell="B62" sqref="B62"/>
    </sheetView>
  </sheetViews>
  <sheetFormatPr defaultColWidth="9.1796875" defaultRowHeight="14.5" x14ac:dyDescent="0.35"/>
  <cols>
    <col min="1" max="1" width="20.453125" style="57" customWidth="1"/>
    <col min="2" max="2" width="32.453125" style="43" customWidth="1"/>
    <col min="3" max="3" width="24.453125" style="43" bestFit="1" customWidth="1"/>
    <col min="4" max="4" width="10.453125" style="43" customWidth="1"/>
    <col min="5" max="5" width="43.1796875" style="49" customWidth="1"/>
    <col min="6" max="6" width="20.1796875" style="57" customWidth="1"/>
    <col min="7" max="7" width="25.1796875" style="43" customWidth="1"/>
    <col min="8" max="8" width="15.453125" style="43" customWidth="1"/>
    <col min="9" max="9" width="31" style="62" customWidth="1"/>
    <col min="10" max="10" width="41.54296875" style="57" customWidth="1"/>
    <col min="11" max="11" width="14" style="43" customWidth="1"/>
    <col min="12" max="12" width="13.453125" style="43" customWidth="1"/>
    <col min="13" max="13" width="9.1796875" style="43" customWidth="1"/>
    <col min="14" max="14" width="30" style="49" customWidth="1"/>
    <col min="15" max="15" width="28.54296875" style="57" customWidth="1"/>
    <col min="16" max="16" width="14.54296875" style="43" customWidth="1"/>
    <col min="17" max="17" width="9.1796875" style="43"/>
    <col min="18" max="18" width="18.54296875" style="43" bestFit="1" customWidth="1"/>
    <col min="19" max="19" width="34.81640625" style="62" customWidth="1"/>
    <col min="20" max="20" width="20.54296875" style="65" customWidth="1"/>
    <col min="21" max="21" width="14.54296875" style="43" customWidth="1"/>
    <col min="22" max="22" width="15.453125" style="43" customWidth="1"/>
    <col min="23" max="23" width="44.453125" style="62" customWidth="1"/>
    <col min="24" max="24" width="34.453125" style="57" customWidth="1"/>
    <col min="25" max="25" width="15" style="43" customWidth="1"/>
    <col min="26" max="27" width="13.81640625" style="43" customWidth="1"/>
    <col min="28" max="28" width="40.1796875" style="49" customWidth="1"/>
    <col min="29" max="29" width="31.54296875" style="57" customWidth="1"/>
    <col min="30" max="30" width="14.453125" style="43" customWidth="1"/>
    <col min="31" max="31" width="26.1796875" style="43" customWidth="1"/>
    <col min="32" max="32" width="7.54296875" style="43" hidden="1" customWidth="1"/>
    <col min="33" max="33" width="35.453125" style="49" customWidth="1"/>
    <col min="34" max="34" width="26.54296875" style="107" customWidth="1"/>
    <col min="35" max="35" width="9.54296875" style="43" customWidth="1"/>
    <col min="36" max="36" width="17.453125" style="43" customWidth="1"/>
    <col min="37" max="37" width="45.453125" style="108" customWidth="1"/>
    <col min="38" max="38" width="32.453125" style="102" customWidth="1"/>
    <col min="39" max="39" width="9.1796875" style="43"/>
    <col min="40" max="40" width="17.81640625" style="43" customWidth="1"/>
    <col min="41" max="41" width="23.1796875" style="43" customWidth="1"/>
    <col min="42" max="16384" width="9.1796875" style="43"/>
  </cols>
  <sheetData>
    <row r="2" spans="1:42" s="41" customFormat="1" ht="21" x14ac:dyDescent="0.5">
      <c r="A2" s="69" t="s">
        <v>54</v>
      </c>
      <c r="E2" s="47"/>
      <c r="F2" s="69" t="s">
        <v>55</v>
      </c>
      <c r="I2" s="60"/>
      <c r="J2" s="69" t="s">
        <v>13</v>
      </c>
      <c r="N2" s="47"/>
      <c r="O2" s="69" t="s">
        <v>39</v>
      </c>
      <c r="S2" s="60"/>
      <c r="T2" s="70" t="s">
        <v>56</v>
      </c>
      <c r="W2" s="60"/>
      <c r="X2" s="69" t="s">
        <v>41</v>
      </c>
      <c r="AB2" s="47"/>
      <c r="AC2" s="69" t="s">
        <v>57</v>
      </c>
      <c r="AG2" s="47"/>
      <c r="AH2" s="103" t="s">
        <v>58</v>
      </c>
      <c r="AK2" s="104"/>
      <c r="AL2" s="100" t="s">
        <v>59</v>
      </c>
    </row>
    <row r="3" spans="1:42" s="41" customFormat="1" ht="23.25" customHeight="1" x14ac:dyDescent="0.35">
      <c r="A3" s="56" t="s">
        <v>9</v>
      </c>
      <c r="B3" s="42" t="s">
        <v>10</v>
      </c>
      <c r="C3" s="42" t="s">
        <v>60</v>
      </c>
      <c r="D3" s="42" t="s">
        <v>12</v>
      </c>
      <c r="E3" s="48" t="s">
        <v>61</v>
      </c>
      <c r="F3" s="56" t="s">
        <v>62</v>
      </c>
      <c r="G3" s="42" t="s">
        <v>60</v>
      </c>
      <c r="H3" s="42" t="s">
        <v>12</v>
      </c>
      <c r="I3" s="61" t="s">
        <v>61</v>
      </c>
      <c r="J3" s="56" t="s">
        <v>63</v>
      </c>
      <c r="K3" s="42" t="s">
        <v>64</v>
      </c>
      <c r="L3" s="42" t="s">
        <v>12</v>
      </c>
      <c r="M3" s="42"/>
      <c r="N3" s="48" t="s">
        <v>61</v>
      </c>
      <c r="O3" s="56" t="s">
        <v>65</v>
      </c>
      <c r="P3" s="42" t="s">
        <v>64</v>
      </c>
      <c r="Q3" s="42" t="s">
        <v>12</v>
      </c>
      <c r="R3" s="42"/>
      <c r="S3" s="61" t="s">
        <v>61</v>
      </c>
      <c r="T3" s="71" t="s">
        <v>66</v>
      </c>
      <c r="U3" s="42" t="s">
        <v>64</v>
      </c>
      <c r="V3" s="42" t="s">
        <v>12</v>
      </c>
      <c r="W3" s="61" t="s">
        <v>61</v>
      </c>
      <c r="X3" s="56" t="s">
        <v>67</v>
      </c>
      <c r="Y3" s="42" t="s">
        <v>64</v>
      </c>
      <c r="Z3" s="42" t="s">
        <v>12</v>
      </c>
      <c r="AA3" s="42"/>
      <c r="AB3" s="48" t="s">
        <v>61</v>
      </c>
      <c r="AC3" s="56" t="s">
        <v>67</v>
      </c>
      <c r="AD3" s="42" t="s">
        <v>64</v>
      </c>
      <c r="AE3" s="42" t="s">
        <v>12</v>
      </c>
      <c r="AF3" s="42"/>
      <c r="AG3" s="48" t="s">
        <v>61</v>
      </c>
      <c r="AH3" s="105" t="s">
        <v>67</v>
      </c>
      <c r="AI3" s="42" t="s">
        <v>68</v>
      </c>
      <c r="AJ3" s="42" t="s">
        <v>69</v>
      </c>
      <c r="AK3" s="106" t="s">
        <v>61</v>
      </c>
      <c r="AL3" s="101" t="s">
        <v>67</v>
      </c>
      <c r="AM3" s="42" t="s">
        <v>64</v>
      </c>
      <c r="AN3" s="42" t="s">
        <v>12</v>
      </c>
      <c r="AO3" s="48" t="s">
        <v>61</v>
      </c>
      <c r="AP3" s="48"/>
    </row>
    <row r="4" spans="1:42" ht="29" x14ac:dyDescent="0.35">
      <c r="A4" s="57" t="s">
        <v>70</v>
      </c>
      <c r="B4" s="43" t="s">
        <v>71</v>
      </c>
      <c r="C4" s="51">
        <v>10</v>
      </c>
      <c r="D4" s="43" t="s">
        <v>72</v>
      </c>
      <c r="E4" s="52" t="s">
        <v>73</v>
      </c>
      <c r="F4" s="57" t="s">
        <v>74</v>
      </c>
      <c r="G4" s="43">
        <v>3.6999999999999998E-2</v>
      </c>
      <c r="H4" s="43" t="s">
        <v>75</v>
      </c>
      <c r="I4" s="52" t="s">
        <v>76</v>
      </c>
      <c r="J4" s="57" t="s">
        <v>77</v>
      </c>
      <c r="K4" s="43">
        <v>0.7</v>
      </c>
      <c r="L4" s="43" t="s">
        <v>78</v>
      </c>
      <c r="M4" s="43" t="s">
        <v>72</v>
      </c>
      <c r="N4" s="49" t="s">
        <v>79</v>
      </c>
      <c r="O4" s="57" t="s">
        <v>80</v>
      </c>
      <c r="P4" s="43">
        <v>4.2</v>
      </c>
      <c r="Q4" s="43" t="s">
        <v>81</v>
      </c>
      <c r="R4" s="43" t="s">
        <v>82</v>
      </c>
      <c r="S4" s="62" t="s">
        <v>83</v>
      </c>
      <c r="T4" s="65" t="s">
        <v>84</v>
      </c>
      <c r="U4" s="43">
        <v>0</v>
      </c>
      <c r="X4" s="57" t="s">
        <v>85</v>
      </c>
      <c r="Y4" s="43">
        <f>$G$4*0.01</f>
        <v>3.6999999999999999E-4</v>
      </c>
      <c r="Z4" s="43" t="s">
        <v>75</v>
      </c>
      <c r="AA4" s="43" t="s">
        <v>86</v>
      </c>
      <c r="AB4" s="52" t="s">
        <v>76</v>
      </c>
      <c r="AC4" s="57" t="s">
        <v>87</v>
      </c>
      <c r="AD4" s="45">
        <v>0.13700000000000001</v>
      </c>
      <c r="AE4" s="43" t="s">
        <v>88</v>
      </c>
      <c r="AF4" s="43" t="s">
        <v>89</v>
      </c>
      <c r="AG4" s="62" t="s">
        <v>90</v>
      </c>
      <c r="AH4" s="107" t="s">
        <v>91</v>
      </c>
      <c r="AI4" s="43">
        <v>10</v>
      </c>
      <c r="AJ4" s="45">
        <f>AI4*44/12</f>
        <v>36.666666666666664</v>
      </c>
      <c r="AK4" s="108" t="s">
        <v>92</v>
      </c>
      <c r="AL4" s="102" t="s">
        <v>93</v>
      </c>
      <c r="AM4" s="43">
        <v>339</v>
      </c>
      <c r="AN4" s="43" t="s">
        <v>94</v>
      </c>
      <c r="AO4" s="43" t="s">
        <v>95</v>
      </c>
    </row>
    <row r="5" spans="1:42" ht="29" x14ac:dyDescent="0.35">
      <c r="A5" s="57" t="s">
        <v>70</v>
      </c>
      <c r="B5" s="43" t="s">
        <v>96</v>
      </c>
      <c r="C5" s="43">
        <v>16.600000000000001</v>
      </c>
      <c r="D5" s="43" t="s">
        <v>72</v>
      </c>
      <c r="E5" s="52" t="s">
        <v>97</v>
      </c>
      <c r="F5" s="57" t="s">
        <v>98</v>
      </c>
      <c r="G5" s="43">
        <v>9.0399999999999994E-2</v>
      </c>
      <c r="H5" s="43" t="s">
        <v>75</v>
      </c>
      <c r="I5" s="52" t="s">
        <v>99</v>
      </c>
      <c r="J5" s="57" t="s">
        <v>100</v>
      </c>
      <c r="K5" s="43">
        <v>0.64500000000000002</v>
      </c>
      <c r="L5" s="43" t="s">
        <v>78</v>
      </c>
      <c r="M5" s="43" t="s">
        <v>72</v>
      </c>
      <c r="N5" s="49" t="s">
        <v>79</v>
      </c>
      <c r="O5" s="57" t="s">
        <v>101</v>
      </c>
      <c r="P5" s="43">
        <v>8.49</v>
      </c>
      <c r="Q5" s="43" t="s">
        <v>81</v>
      </c>
      <c r="R5" s="43" t="s">
        <v>82</v>
      </c>
      <c r="S5" s="62" t="s">
        <v>83</v>
      </c>
      <c r="T5" s="65" t="s">
        <v>25</v>
      </c>
      <c r="U5" s="43">
        <f>Transportdata!$D$10</f>
        <v>0.16733333333333333</v>
      </c>
      <c r="V5" s="43" t="s">
        <v>102</v>
      </c>
      <c r="W5" s="62" t="s">
        <v>103</v>
      </c>
      <c r="X5" s="57" t="s">
        <v>104</v>
      </c>
      <c r="Y5" s="43">
        <f>$G$4*0.05</f>
        <v>1.8500000000000001E-3</v>
      </c>
      <c r="Z5" s="43" t="s">
        <v>75</v>
      </c>
      <c r="AA5" s="43" t="s">
        <v>86</v>
      </c>
      <c r="AB5" s="52" t="s">
        <v>76</v>
      </c>
      <c r="AC5" s="57" t="s">
        <v>105</v>
      </c>
      <c r="AD5" s="43">
        <v>0.16700000000000001</v>
      </c>
      <c r="AE5" s="43" t="s">
        <v>88</v>
      </c>
      <c r="AF5" s="43" t="s">
        <v>89</v>
      </c>
      <c r="AG5" s="62" t="s">
        <v>90</v>
      </c>
      <c r="AL5" s="102" t="s">
        <v>106</v>
      </c>
      <c r="AM5" s="43">
        <v>368</v>
      </c>
      <c r="AN5" s="43" t="s">
        <v>94</v>
      </c>
      <c r="AO5" s="43" t="s">
        <v>95</v>
      </c>
    </row>
    <row r="6" spans="1:42" ht="29" x14ac:dyDescent="0.35">
      <c r="A6" s="57" t="s">
        <v>70</v>
      </c>
      <c r="B6" s="43" t="s">
        <v>107</v>
      </c>
      <c r="C6" s="43">
        <v>1.7</v>
      </c>
      <c r="D6" s="43" t="s">
        <v>72</v>
      </c>
      <c r="E6" s="52" t="s">
        <v>108</v>
      </c>
      <c r="F6" s="57" t="s">
        <v>109</v>
      </c>
      <c r="G6" s="43">
        <v>0.44700000000000001</v>
      </c>
      <c r="H6" s="43" t="s">
        <v>75</v>
      </c>
      <c r="I6" s="52" t="s">
        <v>110</v>
      </c>
      <c r="J6" s="57" t="s">
        <v>111</v>
      </c>
      <c r="K6" s="43">
        <v>0.53</v>
      </c>
      <c r="L6" s="43" t="s">
        <v>78</v>
      </c>
      <c r="M6" s="43" t="s">
        <v>72</v>
      </c>
      <c r="N6" s="49" t="s">
        <v>79</v>
      </c>
      <c r="O6" s="57" t="s">
        <v>112</v>
      </c>
      <c r="P6" s="43">
        <v>4.42</v>
      </c>
      <c r="Q6" s="43" t="s">
        <v>81</v>
      </c>
      <c r="R6" s="43" t="s">
        <v>82</v>
      </c>
      <c r="S6" s="62" t="s">
        <v>83</v>
      </c>
      <c r="T6" s="65" t="s">
        <v>113</v>
      </c>
      <c r="U6" s="43">
        <f>Transportdata!$C$10</f>
        <v>0.24033333333333334</v>
      </c>
      <c r="V6" s="43" t="s">
        <v>102</v>
      </c>
      <c r="W6" s="62" t="s">
        <v>114</v>
      </c>
      <c r="X6" s="57" t="s">
        <v>115</v>
      </c>
      <c r="Y6" s="43">
        <f>$G$4*0.1</f>
        <v>3.7000000000000002E-3</v>
      </c>
      <c r="Z6" s="43" t="s">
        <v>75</v>
      </c>
      <c r="AA6" s="43" t="s">
        <v>86</v>
      </c>
      <c r="AB6" s="52" t="s">
        <v>76</v>
      </c>
      <c r="AC6" s="57" t="s">
        <v>116</v>
      </c>
      <c r="AD6" s="43">
        <v>7.0000000000000001E-3</v>
      </c>
      <c r="AE6" s="43" t="s">
        <v>88</v>
      </c>
      <c r="AF6" s="43" t="s">
        <v>89</v>
      </c>
      <c r="AG6" s="62" t="s">
        <v>90</v>
      </c>
      <c r="AL6" s="102" t="s">
        <v>117</v>
      </c>
      <c r="AM6" s="43">
        <v>165</v>
      </c>
      <c r="AN6" s="43" t="s">
        <v>94</v>
      </c>
      <c r="AO6" s="43" t="s">
        <v>95</v>
      </c>
    </row>
    <row r="7" spans="1:42" ht="29" x14ac:dyDescent="0.35">
      <c r="A7" s="57" t="s">
        <v>70</v>
      </c>
      <c r="B7" s="43" t="s">
        <v>118</v>
      </c>
      <c r="C7" s="43">
        <v>2.52</v>
      </c>
      <c r="D7" s="43" t="s">
        <v>72</v>
      </c>
      <c r="E7" s="52" t="s">
        <v>119</v>
      </c>
      <c r="F7" s="57" t="s">
        <v>120</v>
      </c>
      <c r="G7" s="45">
        <v>0.89528333333333299</v>
      </c>
      <c r="H7" s="43" t="s">
        <v>75</v>
      </c>
      <c r="I7" s="52" t="s">
        <v>121</v>
      </c>
      <c r="J7" s="57" t="s">
        <v>122</v>
      </c>
      <c r="K7" s="43">
        <v>0.22700000000000001</v>
      </c>
      <c r="L7" s="43" t="s">
        <v>78</v>
      </c>
      <c r="M7" s="43" t="s">
        <v>72</v>
      </c>
      <c r="N7" s="49" t="s">
        <v>79</v>
      </c>
      <c r="O7" s="57" t="s">
        <v>123</v>
      </c>
      <c r="P7" s="43">
        <v>11.05</v>
      </c>
      <c r="Q7" s="43" t="s">
        <v>81</v>
      </c>
      <c r="R7" s="43" t="s">
        <v>82</v>
      </c>
      <c r="S7" s="62" t="s">
        <v>83</v>
      </c>
      <c r="T7" s="65" t="s">
        <v>124</v>
      </c>
      <c r="U7" s="43">
        <f>Transportdata!$B$10</f>
        <v>0.24966666666666665</v>
      </c>
      <c r="V7" s="43" t="s">
        <v>102</v>
      </c>
      <c r="W7" s="62" t="s">
        <v>125</v>
      </c>
      <c r="X7" s="57" t="s">
        <v>126</v>
      </c>
      <c r="Y7" s="43">
        <f>$G$4*1</f>
        <v>3.6999999999999998E-2</v>
      </c>
      <c r="Z7" s="43" t="s">
        <v>75</v>
      </c>
      <c r="AA7" s="43" t="s">
        <v>86</v>
      </c>
      <c r="AB7" s="52" t="s">
        <v>76</v>
      </c>
      <c r="AC7" s="57" t="s">
        <v>127</v>
      </c>
      <c r="AD7" s="43">
        <v>3.6999999999999998E-2</v>
      </c>
      <c r="AE7" s="43" t="s">
        <v>88</v>
      </c>
      <c r="AG7" s="62" t="s">
        <v>90</v>
      </c>
      <c r="AL7" s="102" t="s">
        <v>128</v>
      </c>
      <c r="AM7" s="43">
        <v>374</v>
      </c>
      <c r="AN7" s="43" t="s">
        <v>94</v>
      </c>
      <c r="AO7" s="43" t="s">
        <v>95</v>
      </c>
    </row>
    <row r="8" spans="1:42" ht="29" x14ac:dyDescent="0.35">
      <c r="A8" s="57" t="s">
        <v>70</v>
      </c>
      <c r="B8" s="43" t="s">
        <v>129</v>
      </c>
      <c r="C8" s="43">
        <v>0.9</v>
      </c>
      <c r="D8" s="43" t="s">
        <v>72</v>
      </c>
      <c r="E8" s="52" t="s">
        <v>130</v>
      </c>
      <c r="F8" s="57" t="s">
        <v>131</v>
      </c>
      <c r="G8" s="43">
        <v>0.52900000000000003</v>
      </c>
      <c r="H8" s="43" t="s">
        <v>75</v>
      </c>
      <c r="I8" s="52" t="s">
        <v>132</v>
      </c>
      <c r="J8" s="57" t="s">
        <v>133</v>
      </c>
      <c r="K8" s="43">
        <f>0.1</f>
        <v>0.1</v>
      </c>
      <c r="L8" s="43" t="s">
        <v>134</v>
      </c>
      <c r="M8" s="43" t="s">
        <v>86</v>
      </c>
      <c r="O8" s="57" t="s">
        <v>135</v>
      </c>
      <c r="P8" s="43">
        <v>0.4</v>
      </c>
      <c r="Q8" s="43" t="s">
        <v>136</v>
      </c>
      <c r="R8" s="43" t="s">
        <v>137</v>
      </c>
      <c r="S8" s="62" t="s">
        <v>138</v>
      </c>
      <c r="T8" s="65" t="s">
        <v>139</v>
      </c>
      <c r="U8" s="43">
        <f>Transportdata!$B$26</f>
        <v>8.9600000000000009E-3</v>
      </c>
      <c r="V8" s="43" t="s">
        <v>102</v>
      </c>
      <c r="W8" s="62" t="s">
        <v>140</v>
      </c>
      <c r="X8" s="57" t="s">
        <v>141</v>
      </c>
      <c r="Y8" s="43">
        <f>$G$4*2</f>
        <v>7.3999999999999996E-2</v>
      </c>
      <c r="Z8" s="43" t="s">
        <v>75</v>
      </c>
      <c r="AA8" s="43" t="s">
        <v>86</v>
      </c>
      <c r="AB8" s="52" t="s">
        <v>76</v>
      </c>
      <c r="AC8" s="57" t="s">
        <v>142</v>
      </c>
      <c r="AD8" s="43">
        <v>7.3999999999999996E-2</v>
      </c>
      <c r="AE8" s="43" t="s">
        <v>88</v>
      </c>
      <c r="AG8" s="62" t="s">
        <v>90</v>
      </c>
      <c r="AL8" s="102" t="s">
        <v>143</v>
      </c>
      <c r="AM8" s="43">
        <v>384</v>
      </c>
      <c r="AN8" s="43" t="s">
        <v>94</v>
      </c>
      <c r="AO8" s="43" t="s">
        <v>95</v>
      </c>
    </row>
    <row r="9" spans="1:42" ht="29" x14ac:dyDescent="0.35">
      <c r="A9" s="57" t="s">
        <v>70</v>
      </c>
      <c r="B9" s="43" t="s">
        <v>144</v>
      </c>
      <c r="C9" s="43">
        <v>3.6</v>
      </c>
      <c r="D9" s="43" t="s">
        <v>72</v>
      </c>
      <c r="E9" s="52" t="s">
        <v>145</v>
      </c>
      <c r="F9" s="57" t="s">
        <v>146</v>
      </c>
      <c r="G9" s="43">
        <f>0.072*3.6</f>
        <v>0.25919999999999999</v>
      </c>
      <c r="H9" s="43" t="s">
        <v>75</v>
      </c>
      <c r="I9" s="52" t="s">
        <v>147</v>
      </c>
      <c r="J9" s="57" t="s">
        <v>148</v>
      </c>
      <c r="K9" s="43">
        <v>1</v>
      </c>
      <c r="L9" s="43" t="s">
        <v>134</v>
      </c>
      <c r="M9" s="43" t="s">
        <v>86</v>
      </c>
      <c r="O9" s="57" t="s">
        <v>149</v>
      </c>
      <c r="P9" s="43">
        <v>2.85</v>
      </c>
      <c r="Q9" s="43" t="s">
        <v>150</v>
      </c>
      <c r="R9" s="43" t="s">
        <v>72</v>
      </c>
      <c r="S9" s="62" t="s">
        <v>151</v>
      </c>
      <c r="T9" s="65" t="s">
        <v>152</v>
      </c>
      <c r="U9" s="43">
        <f>Transportdata!$C$47</f>
        <v>1.353125E-2</v>
      </c>
      <c r="V9" s="43" t="s">
        <v>102</v>
      </c>
      <c r="W9" s="62" t="s">
        <v>153</v>
      </c>
      <c r="X9" s="57" t="s">
        <v>154</v>
      </c>
      <c r="Y9" s="43">
        <f>18*$G$11</f>
        <v>6.1624800000000004</v>
      </c>
      <c r="Z9" s="43" t="s">
        <v>75</v>
      </c>
      <c r="AA9" s="43" t="s">
        <v>86</v>
      </c>
      <c r="AB9" s="52" t="s">
        <v>155</v>
      </c>
      <c r="AC9" s="57" t="s">
        <v>156</v>
      </c>
      <c r="AD9" s="43">
        <v>2.7E-2</v>
      </c>
      <c r="AE9" s="43" t="s">
        <v>88</v>
      </c>
      <c r="AG9" s="62" t="s">
        <v>90</v>
      </c>
    </row>
    <row r="10" spans="1:42" ht="29" x14ac:dyDescent="0.35">
      <c r="A10" s="57" t="s">
        <v>70</v>
      </c>
      <c r="B10" s="43" t="s">
        <v>157</v>
      </c>
      <c r="C10" s="43">
        <v>2.59</v>
      </c>
      <c r="D10" s="43" t="s">
        <v>72</v>
      </c>
      <c r="E10" s="52" t="s">
        <v>158</v>
      </c>
      <c r="F10" s="57" t="s">
        <v>159</v>
      </c>
      <c r="G10" s="43">
        <f>0.0933*3.6</f>
        <v>0.33588000000000001</v>
      </c>
      <c r="H10" s="43" t="s">
        <v>75</v>
      </c>
      <c r="I10" s="52" t="s">
        <v>160</v>
      </c>
      <c r="J10" s="57" t="s">
        <v>161</v>
      </c>
      <c r="K10" s="43">
        <v>2</v>
      </c>
      <c r="L10" s="43" t="s">
        <v>134</v>
      </c>
      <c r="M10" s="43" t="s">
        <v>86</v>
      </c>
      <c r="O10" s="57" t="s">
        <v>162</v>
      </c>
      <c r="P10" s="43">
        <v>68.900000000000006</v>
      </c>
      <c r="Q10" s="43" t="s">
        <v>136</v>
      </c>
      <c r="R10" s="43" t="s">
        <v>137</v>
      </c>
      <c r="S10" s="62" t="s">
        <v>163</v>
      </c>
      <c r="T10" s="65" t="s">
        <v>164</v>
      </c>
      <c r="U10" s="43">
        <f>Transportdata!B17</f>
        <v>1.2700000000000002</v>
      </c>
      <c r="V10" s="43" t="s">
        <v>102</v>
      </c>
      <c r="W10" s="62" t="s">
        <v>165</v>
      </c>
      <c r="X10" s="57" t="s">
        <v>166</v>
      </c>
      <c r="Y10" s="43">
        <f>74*$G$11</f>
        <v>25.33464</v>
      </c>
      <c r="Z10" s="43" t="s">
        <v>75</v>
      </c>
      <c r="AA10" s="43" t="s">
        <v>86</v>
      </c>
      <c r="AB10" s="52" t="s">
        <v>167</v>
      </c>
      <c r="AC10" s="57" t="s">
        <v>168</v>
      </c>
      <c r="AD10" s="43">
        <v>7.0000000000000001E-3</v>
      </c>
      <c r="AE10" s="43" t="s">
        <v>88</v>
      </c>
      <c r="AF10" s="43" t="s">
        <v>89</v>
      </c>
      <c r="AG10" s="62" t="s">
        <v>169</v>
      </c>
    </row>
    <row r="11" spans="1:42" ht="29" x14ac:dyDescent="0.35">
      <c r="A11" s="57" t="s">
        <v>70</v>
      </c>
      <c r="B11" s="43" t="s">
        <v>170</v>
      </c>
      <c r="C11" s="43">
        <v>6.64</v>
      </c>
      <c r="D11" s="43" t="s">
        <v>72</v>
      </c>
      <c r="E11" s="52" t="s">
        <v>171</v>
      </c>
      <c r="F11" s="57" t="s">
        <v>172</v>
      </c>
      <c r="G11" s="43">
        <f>0.0951*3.6</f>
        <v>0.34236</v>
      </c>
      <c r="H11" s="43" t="s">
        <v>75</v>
      </c>
      <c r="I11" s="52" t="s">
        <v>173</v>
      </c>
      <c r="J11" s="57" t="s">
        <v>174</v>
      </c>
      <c r="K11" s="43">
        <v>3</v>
      </c>
      <c r="L11" s="43" t="s">
        <v>134</v>
      </c>
      <c r="M11" s="43" t="s">
        <v>86</v>
      </c>
      <c r="O11" s="57" t="s">
        <v>166</v>
      </c>
      <c r="P11" s="43">
        <f>74*$G$11</f>
        <v>25.33464</v>
      </c>
      <c r="Q11" s="43" t="s">
        <v>75</v>
      </c>
      <c r="R11" s="43" t="s">
        <v>86</v>
      </c>
      <c r="S11" s="52" t="s">
        <v>167</v>
      </c>
      <c r="T11" s="65" t="s">
        <v>87</v>
      </c>
      <c r="U11" s="43">
        <v>0.13700000000000001</v>
      </c>
      <c r="V11" s="43" t="s">
        <v>175</v>
      </c>
      <c r="W11" s="62" t="s">
        <v>90</v>
      </c>
      <c r="X11" s="57" t="s">
        <v>176</v>
      </c>
      <c r="Y11" s="43">
        <f>Transportdata!$D$10</f>
        <v>0.16733333333333333</v>
      </c>
      <c r="Z11" s="43" t="s">
        <v>102</v>
      </c>
      <c r="AA11" s="43" t="s">
        <v>89</v>
      </c>
      <c r="AB11" s="62" t="s">
        <v>103</v>
      </c>
      <c r="AC11" s="57" t="s">
        <v>177</v>
      </c>
      <c r="AD11" s="43">
        <v>2.4E-2</v>
      </c>
      <c r="AE11" s="43" t="s">
        <v>88</v>
      </c>
      <c r="AF11" s="43" t="s">
        <v>89</v>
      </c>
      <c r="AG11" s="62" t="s">
        <v>169</v>
      </c>
    </row>
    <row r="12" spans="1:42" ht="29" x14ac:dyDescent="0.35">
      <c r="A12" s="57" t="s">
        <v>70</v>
      </c>
      <c r="B12" s="43" t="s">
        <v>178</v>
      </c>
      <c r="C12" s="43">
        <v>1.98</v>
      </c>
      <c r="D12" s="43" t="s">
        <v>72</v>
      </c>
      <c r="E12" s="52" t="s">
        <v>145</v>
      </c>
      <c r="F12" s="57" t="s">
        <v>179</v>
      </c>
      <c r="G12" s="43">
        <f>0.0153*3.6</f>
        <v>5.5079999999999997E-2</v>
      </c>
      <c r="H12" s="43" t="s">
        <v>75</v>
      </c>
      <c r="I12" s="52" t="s">
        <v>180</v>
      </c>
      <c r="J12" s="57" t="s">
        <v>181</v>
      </c>
      <c r="K12" s="43">
        <v>5</v>
      </c>
      <c r="L12" s="43" t="s">
        <v>134</v>
      </c>
      <c r="M12" s="43" t="s">
        <v>86</v>
      </c>
      <c r="O12" s="57" t="s">
        <v>154</v>
      </c>
      <c r="P12" s="43">
        <f>18*$G$11</f>
        <v>6.1624800000000004</v>
      </c>
      <c r="Q12" s="43" t="s">
        <v>75</v>
      </c>
      <c r="R12" s="43" t="s">
        <v>86</v>
      </c>
      <c r="S12" s="52" t="s">
        <v>155</v>
      </c>
      <c r="T12" s="65" t="s">
        <v>182</v>
      </c>
      <c r="U12" s="43">
        <f>U11*1.15</f>
        <v>0.15755</v>
      </c>
      <c r="V12" s="43" t="s">
        <v>175</v>
      </c>
      <c r="W12" s="62" t="s">
        <v>183</v>
      </c>
      <c r="X12" s="57" t="s">
        <v>184</v>
      </c>
      <c r="Y12" s="43">
        <v>0.13700000000000001</v>
      </c>
      <c r="Z12" s="43" t="s">
        <v>88</v>
      </c>
      <c r="AA12" s="43" t="s">
        <v>89</v>
      </c>
      <c r="AB12" s="62" t="s">
        <v>185</v>
      </c>
      <c r="AC12" s="57" t="s">
        <v>186</v>
      </c>
      <c r="AD12" s="43">
        <v>9.0999999999999998E-2</v>
      </c>
      <c r="AE12" s="43" t="s">
        <v>88</v>
      </c>
      <c r="AF12" s="43" t="s">
        <v>89</v>
      </c>
      <c r="AG12" s="62" t="s">
        <v>169</v>
      </c>
    </row>
    <row r="13" spans="1:42" ht="29" x14ac:dyDescent="0.35">
      <c r="A13" s="57" t="s">
        <v>70</v>
      </c>
      <c r="B13" s="43" t="s">
        <v>187</v>
      </c>
      <c r="C13" s="43">
        <v>1.7</v>
      </c>
      <c r="D13" s="43" t="s">
        <v>72</v>
      </c>
      <c r="E13" s="52" t="s">
        <v>188</v>
      </c>
      <c r="F13" s="57" t="s">
        <v>189</v>
      </c>
      <c r="G13" s="43">
        <v>5.6000000000000001E-2</v>
      </c>
      <c r="H13" s="43" t="s">
        <v>75</v>
      </c>
      <c r="I13" s="52" t="s">
        <v>190</v>
      </c>
      <c r="J13" s="57" t="s">
        <v>191</v>
      </c>
      <c r="K13" s="43">
        <v>10</v>
      </c>
      <c r="L13" s="43" t="s">
        <v>134</v>
      </c>
      <c r="M13" s="43" t="s">
        <v>86</v>
      </c>
      <c r="T13" s="65" t="s">
        <v>105</v>
      </c>
      <c r="U13" s="43">
        <v>0.16700000000000001</v>
      </c>
      <c r="V13" s="43" t="s">
        <v>175</v>
      </c>
      <c r="W13" s="62" t="s">
        <v>90</v>
      </c>
      <c r="X13" s="57" t="s">
        <v>192</v>
      </c>
      <c r="Y13" s="43">
        <v>2.5</v>
      </c>
      <c r="Z13" s="43" t="s">
        <v>193</v>
      </c>
      <c r="AA13" s="43" t="s">
        <v>72</v>
      </c>
      <c r="AB13" s="49" t="s">
        <v>194</v>
      </c>
      <c r="AC13" s="57" t="s">
        <v>164</v>
      </c>
      <c r="AD13" s="43">
        <v>0.13300000000000001</v>
      </c>
      <c r="AE13" s="43" t="s">
        <v>88</v>
      </c>
      <c r="AF13" s="43" t="s">
        <v>89</v>
      </c>
      <c r="AG13" s="62" t="s">
        <v>169</v>
      </c>
    </row>
    <row r="14" spans="1:42" ht="29" x14ac:dyDescent="0.35">
      <c r="A14" s="57" t="s">
        <v>70</v>
      </c>
      <c r="B14" s="43" t="s">
        <v>195</v>
      </c>
      <c r="C14" s="43">
        <v>2.5</v>
      </c>
      <c r="D14" s="43" t="s">
        <v>72</v>
      </c>
      <c r="E14" s="52" t="s">
        <v>196</v>
      </c>
      <c r="J14" s="57" t="s">
        <v>159</v>
      </c>
      <c r="K14" s="43">
        <f>0.0933*34.9</f>
        <v>3.2561699999999996</v>
      </c>
      <c r="L14" s="43" t="s">
        <v>197</v>
      </c>
      <c r="M14" s="43" t="s">
        <v>198</v>
      </c>
      <c r="N14" s="52" t="s">
        <v>160</v>
      </c>
      <c r="T14" s="65" t="s">
        <v>199</v>
      </c>
      <c r="U14" s="43">
        <f>U13*1.15</f>
        <v>0.19205</v>
      </c>
      <c r="V14" s="43" t="s">
        <v>175</v>
      </c>
      <c r="W14" s="62" t="s">
        <v>183</v>
      </c>
      <c r="X14" s="57" t="s">
        <v>200</v>
      </c>
      <c r="Y14" s="43">
        <v>1.73</v>
      </c>
      <c r="Z14" s="43" t="s">
        <v>193</v>
      </c>
      <c r="AA14" s="43" t="s">
        <v>72</v>
      </c>
      <c r="AB14" s="52" t="s">
        <v>201</v>
      </c>
      <c r="AC14" s="57" t="s">
        <v>202</v>
      </c>
      <c r="AD14" s="43">
        <v>2.5000000000000001E-2</v>
      </c>
      <c r="AE14" s="43" t="s">
        <v>88</v>
      </c>
      <c r="AG14" s="62" t="s">
        <v>169</v>
      </c>
    </row>
    <row r="15" spans="1:42" ht="29" x14ac:dyDescent="0.35">
      <c r="A15" s="57" t="s">
        <v>23</v>
      </c>
      <c r="B15" s="43" t="s">
        <v>24</v>
      </c>
      <c r="C15" s="43">
        <v>0.14000000000000001</v>
      </c>
      <c r="D15" s="43" t="s">
        <v>72</v>
      </c>
      <c r="E15" s="52" t="s">
        <v>203</v>
      </c>
      <c r="J15" s="57" t="s">
        <v>172</v>
      </c>
      <c r="K15" s="43">
        <f>0.0951*35.2</f>
        <v>3.3475200000000003</v>
      </c>
      <c r="L15" s="43" t="s">
        <v>197</v>
      </c>
      <c r="M15" s="43" t="s">
        <v>198</v>
      </c>
      <c r="N15" s="52" t="s">
        <v>173</v>
      </c>
      <c r="T15" s="65" t="s">
        <v>116</v>
      </c>
      <c r="U15" s="43">
        <v>7.0000000000000001E-3</v>
      </c>
      <c r="V15" s="43" t="s">
        <v>175</v>
      </c>
      <c r="W15" s="62" t="s">
        <v>90</v>
      </c>
      <c r="AC15" s="57" t="s">
        <v>204</v>
      </c>
      <c r="AD15" s="43">
        <v>7.0000000000000001E-3</v>
      </c>
      <c r="AE15" s="43" t="s">
        <v>88</v>
      </c>
      <c r="AG15" s="62" t="s">
        <v>169</v>
      </c>
    </row>
    <row r="16" spans="1:42" ht="29" x14ac:dyDescent="0.35">
      <c r="A16" s="57" t="s">
        <v>23</v>
      </c>
      <c r="B16" s="43" t="s">
        <v>205</v>
      </c>
      <c r="C16" s="43">
        <v>0.105</v>
      </c>
      <c r="D16" s="43" t="s">
        <v>72</v>
      </c>
      <c r="E16" s="52" t="s">
        <v>206</v>
      </c>
      <c r="J16" s="57" t="s">
        <v>179</v>
      </c>
      <c r="K16" s="43">
        <f>0.0153*34</f>
        <v>0.5202</v>
      </c>
      <c r="L16" s="43" t="s">
        <v>197</v>
      </c>
      <c r="M16" s="43" t="s">
        <v>198</v>
      </c>
      <c r="N16" s="52" t="s">
        <v>180</v>
      </c>
      <c r="T16" s="65" t="s">
        <v>207</v>
      </c>
      <c r="U16" s="43">
        <f>U15*1.15</f>
        <v>8.0499999999999999E-3</v>
      </c>
      <c r="V16" s="43" t="s">
        <v>175</v>
      </c>
      <c r="W16" s="62" t="s">
        <v>183</v>
      </c>
      <c r="AC16" s="57" t="s">
        <v>208</v>
      </c>
      <c r="AD16" s="43">
        <v>0.22600000000000001</v>
      </c>
      <c r="AE16" s="43" t="s">
        <v>88</v>
      </c>
      <c r="AG16" s="62" t="s">
        <v>169</v>
      </c>
    </row>
    <row r="17" spans="1:33" x14ac:dyDescent="0.35">
      <c r="A17" s="57" t="s">
        <v>23</v>
      </c>
      <c r="B17" s="43" t="s">
        <v>209</v>
      </c>
      <c r="C17" s="43">
        <v>0.251</v>
      </c>
      <c r="D17" s="43" t="s">
        <v>72</v>
      </c>
      <c r="E17" s="52" t="s">
        <v>210</v>
      </c>
      <c r="AC17" s="57" t="s">
        <v>211</v>
      </c>
      <c r="AD17" s="43">
        <v>0</v>
      </c>
      <c r="AE17" s="43" t="s">
        <v>88</v>
      </c>
      <c r="AG17" s="62"/>
    </row>
    <row r="18" spans="1:33" x14ac:dyDescent="0.35">
      <c r="A18" s="57" t="s">
        <v>23</v>
      </c>
      <c r="B18" s="43" t="s">
        <v>212</v>
      </c>
      <c r="C18" s="43">
        <v>0.7</v>
      </c>
      <c r="D18" s="43" t="s">
        <v>72</v>
      </c>
      <c r="E18" s="52" t="s">
        <v>145</v>
      </c>
    </row>
    <row r="19" spans="1:33" x14ac:dyDescent="0.35">
      <c r="A19" s="57" t="s">
        <v>23</v>
      </c>
      <c r="B19" s="43" t="s">
        <v>213</v>
      </c>
      <c r="C19" s="43">
        <v>0</v>
      </c>
      <c r="D19" s="43" t="s">
        <v>72</v>
      </c>
      <c r="E19" s="52"/>
    </row>
    <row r="20" spans="1:33" x14ac:dyDescent="0.35">
      <c r="A20" s="57" t="s">
        <v>23</v>
      </c>
      <c r="B20" s="43" t="s">
        <v>214</v>
      </c>
      <c r="C20" s="43">
        <v>0.64</v>
      </c>
      <c r="D20" s="43" t="s">
        <v>72</v>
      </c>
      <c r="E20" s="52" t="s">
        <v>215</v>
      </c>
    </row>
    <row r="21" spans="1:33" x14ac:dyDescent="0.35">
      <c r="A21" s="57" t="s">
        <v>23</v>
      </c>
      <c r="B21" s="43" t="s">
        <v>216</v>
      </c>
      <c r="C21" s="43">
        <v>0.55000000000000004</v>
      </c>
      <c r="D21" s="43" t="s">
        <v>72</v>
      </c>
      <c r="E21" s="52" t="s">
        <v>217</v>
      </c>
    </row>
    <row r="22" spans="1:33" x14ac:dyDescent="0.35">
      <c r="A22" s="57" t="s">
        <v>218</v>
      </c>
      <c r="B22" s="43" t="s">
        <v>219</v>
      </c>
      <c r="C22" s="43">
        <v>7.3499999999999996E-2</v>
      </c>
      <c r="D22" s="43" t="s">
        <v>72</v>
      </c>
      <c r="E22" s="52" t="s">
        <v>220</v>
      </c>
    </row>
    <row r="23" spans="1:33" x14ac:dyDescent="0.35">
      <c r="A23" s="57" t="s">
        <v>218</v>
      </c>
      <c r="B23" s="43" t="s">
        <v>221</v>
      </c>
      <c r="C23" s="43">
        <v>0.67</v>
      </c>
      <c r="D23" s="43" t="s">
        <v>72</v>
      </c>
      <c r="E23" s="53" t="s">
        <v>222</v>
      </c>
    </row>
    <row r="24" spans="1:33" x14ac:dyDescent="0.35">
      <c r="A24" s="57" t="s">
        <v>218</v>
      </c>
      <c r="B24" s="43" t="s">
        <v>223</v>
      </c>
      <c r="C24" s="43">
        <v>4.1000000000000002E-2</v>
      </c>
      <c r="D24" s="43" t="s">
        <v>72</v>
      </c>
      <c r="E24" s="53" t="s">
        <v>224</v>
      </c>
    </row>
    <row r="25" spans="1:33" x14ac:dyDescent="0.35">
      <c r="A25" s="57" t="s">
        <v>218</v>
      </c>
      <c r="B25" s="43" t="s">
        <v>225</v>
      </c>
      <c r="C25" s="43">
        <v>0.35799999999999998</v>
      </c>
      <c r="D25" s="43" t="s">
        <v>72</v>
      </c>
      <c r="E25" s="52" t="s">
        <v>226</v>
      </c>
    </row>
    <row r="26" spans="1:33" x14ac:dyDescent="0.35">
      <c r="A26" s="57" t="s">
        <v>218</v>
      </c>
      <c r="B26" s="43" t="s">
        <v>227</v>
      </c>
      <c r="C26" s="43">
        <v>0.5</v>
      </c>
      <c r="D26" s="43" t="s">
        <v>72</v>
      </c>
      <c r="E26" s="52" t="s">
        <v>228</v>
      </c>
    </row>
    <row r="27" spans="1:33" x14ac:dyDescent="0.35">
      <c r="A27" s="57" t="s">
        <v>218</v>
      </c>
      <c r="B27" s="43" t="s">
        <v>229</v>
      </c>
      <c r="C27" s="43">
        <v>0.39</v>
      </c>
      <c r="D27" s="43" t="s">
        <v>72</v>
      </c>
      <c r="E27" s="52" t="s">
        <v>230</v>
      </c>
    </row>
    <row r="28" spans="1:33" x14ac:dyDescent="0.35">
      <c r="A28" s="57" t="s">
        <v>218</v>
      </c>
      <c r="B28" s="43" t="s">
        <v>231</v>
      </c>
      <c r="C28" s="43">
        <v>0.152</v>
      </c>
      <c r="D28" s="43" t="s">
        <v>72</v>
      </c>
      <c r="E28" s="52" t="s">
        <v>232</v>
      </c>
    </row>
    <row r="29" spans="1:33" x14ac:dyDescent="0.35">
      <c r="A29" s="57" t="s">
        <v>218</v>
      </c>
      <c r="B29" s="43" t="s">
        <v>233</v>
      </c>
      <c r="C29" s="43">
        <v>0.14399999999999999</v>
      </c>
      <c r="D29" s="43" t="s">
        <v>72</v>
      </c>
      <c r="E29" s="52" t="s">
        <v>232</v>
      </c>
    </row>
    <row r="30" spans="1:33" x14ac:dyDescent="0.35">
      <c r="A30" s="57" t="s">
        <v>234</v>
      </c>
      <c r="B30" s="43" t="s">
        <v>234</v>
      </c>
      <c r="C30" s="43">
        <v>1.1599999999999999</v>
      </c>
      <c r="D30" s="43" t="s">
        <v>72</v>
      </c>
      <c r="E30" s="52" t="s">
        <v>235</v>
      </c>
    </row>
    <row r="31" spans="1:33" x14ac:dyDescent="0.35">
      <c r="A31" s="57" t="s">
        <v>234</v>
      </c>
      <c r="B31" s="43" t="s">
        <v>236</v>
      </c>
      <c r="C31" s="43">
        <v>1.54</v>
      </c>
      <c r="D31" s="43" t="s">
        <v>72</v>
      </c>
      <c r="E31" s="52" t="s">
        <v>145</v>
      </c>
    </row>
    <row r="32" spans="1:33" x14ac:dyDescent="0.35">
      <c r="A32" s="57" t="s">
        <v>237</v>
      </c>
      <c r="B32" s="43" t="s">
        <v>237</v>
      </c>
      <c r="C32" s="43">
        <v>2.2200000000000002</v>
      </c>
      <c r="D32" s="43" t="s">
        <v>72</v>
      </c>
      <c r="E32" s="52" t="s">
        <v>238</v>
      </c>
    </row>
    <row r="33" spans="1:19" x14ac:dyDescent="0.35">
      <c r="A33" s="57" t="s">
        <v>237</v>
      </c>
      <c r="B33" s="43" t="s">
        <v>239</v>
      </c>
      <c r="C33" s="43">
        <v>7.7590000000000003</v>
      </c>
      <c r="D33" s="43" t="s">
        <v>72</v>
      </c>
      <c r="E33" s="52" t="s">
        <v>240</v>
      </c>
    </row>
    <row r="34" spans="1:19" x14ac:dyDescent="0.35">
      <c r="A34" s="57" t="s">
        <v>237</v>
      </c>
      <c r="B34" s="43" t="s">
        <v>241</v>
      </c>
      <c r="C34" s="43">
        <v>2.6</v>
      </c>
      <c r="D34" s="43" t="s">
        <v>72</v>
      </c>
      <c r="E34" s="52" t="s">
        <v>145</v>
      </c>
    </row>
    <row r="35" spans="1:19" x14ac:dyDescent="0.35">
      <c r="A35" s="57" t="s">
        <v>237</v>
      </c>
      <c r="B35" s="43" t="s">
        <v>242</v>
      </c>
      <c r="C35" s="43">
        <v>4.0999999999999996</v>
      </c>
      <c r="D35" s="43" t="s">
        <v>72</v>
      </c>
      <c r="E35" s="54" t="s">
        <v>243</v>
      </c>
    </row>
    <row r="36" spans="1:19" x14ac:dyDescent="0.35">
      <c r="A36" s="57" t="s">
        <v>237</v>
      </c>
      <c r="B36" s="43" t="s">
        <v>244</v>
      </c>
      <c r="C36" s="43">
        <v>3.6</v>
      </c>
      <c r="D36" s="43" t="s">
        <v>72</v>
      </c>
      <c r="E36" s="52" t="s">
        <v>245</v>
      </c>
    </row>
    <row r="37" spans="1:19" x14ac:dyDescent="0.35">
      <c r="A37" s="57" t="s">
        <v>237</v>
      </c>
      <c r="B37" s="43" t="s">
        <v>246</v>
      </c>
      <c r="C37" s="43">
        <v>3.2</v>
      </c>
      <c r="D37" s="43" t="s">
        <v>72</v>
      </c>
      <c r="E37" s="52" t="s">
        <v>247</v>
      </c>
    </row>
    <row r="38" spans="1:19" x14ac:dyDescent="0.35">
      <c r="A38" s="57" t="s">
        <v>248</v>
      </c>
      <c r="B38" s="43" t="s">
        <v>249</v>
      </c>
      <c r="C38" s="43">
        <v>9.7200000000000006</v>
      </c>
      <c r="D38" s="43" t="s">
        <v>72</v>
      </c>
      <c r="E38" s="52" t="s">
        <v>250</v>
      </c>
    </row>
    <row r="39" spans="1:19" x14ac:dyDescent="0.35">
      <c r="A39" s="57" t="s">
        <v>248</v>
      </c>
      <c r="B39" s="43" t="s">
        <v>251</v>
      </c>
      <c r="C39" s="43">
        <v>3.69</v>
      </c>
      <c r="D39" s="43" t="s">
        <v>72</v>
      </c>
      <c r="E39" s="52" t="s">
        <v>250</v>
      </c>
    </row>
    <row r="40" spans="1:19" x14ac:dyDescent="0.35">
      <c r="A40" s="57" t="s">
        <v>248</v>
      </c>
      <c r="B40" s="43" t="s">
        <v>252</v>
      </c>
      <c r="C40" s="43">
        <v>4.76</v>
      </c>
      <c r="D40" s="43" t="s">
        <v>72</v>
      </c>
      <c r="E40" s="52" t="s">
        <v>250</v>
      </c>
    </row>
    <row r="41" spans="1:19" x14ac:dyDescent="0.35">
      <c r="A41" s="57" t="s">
        <v>248</v>
      </c>
      <c r="B41" s="43" t="s">
        <v>253</v>
      </c>
      <c r="C41" s="43">
        <v>9</v>
      </c>
      <c r="D41" s="43" t="s">
        <v>72</v>
      </c>
      <c r="E41" s="52" t="s">
        <v>250</v>
      </c>
    </row>
    <row r="42" spans="1:19" x14ac:dyDescent="0.35">
      <c r="A42" s="57" t="s">
        <v>248</v>
      </c>
      <c r="B42" s="43" t="s">
        <v>254</v>
      </c>
      <c r="C42" s="43">
        <v>8.06</v>
      </c>
      <c r="D42" s="43" t="s">
        <v>72</v>
      </c>
      <c r="E42" s="52" t="s">
        <v>250</v>
      </c>
    </row>
    <row r="43" spans="1:19" x14ac:dyDescent="0.35">
      <c r="A43" s="57" t="s">
        <v>248</v>
      </c>
      <c r="B43" s="43" t="s">
        <v>255</v>
      </c>
      <c r="C43" s="43">
        <v>23.43</v>
      </c>
      <c r="D43" s="43" t="s">
        <v>72</v>
      </c>
      <c r="E43" s="52" t="s">
        <v>250</v>
      </c>
    </row>
    <row r="44" spans="1:19" x14ac:dyDescent="0.35">
      <c r="A44" s="57" t="s">
        <v>248</v>
      </c>
      <c r="B44" s="43" t="s">
        <v>256</v>
      </c>
      <c r="C44" s="43">
        <v>9.4499999999999993</v>
      </c>
      <c r="D44" s="43" t="s">
        <v>72</v>
      </c>
      <c r="E44" s="52" t="s">
        <v>250</v>
      </c>
    </row>
    <row r="45" spans="1:19" x14ac:dyDescent="0.35">
      <c r="A45" s="57" t="s">
        <v>248</v>
      </c>
      <c r="B45" s="43" t="s">
        <v>257</v>
      </c>
      <c r="C45" s="43">
        <v>29.44</v>
      </c>
      <c r="D45" s="43" t="s">
        <v>72</v>
      </c>
      <c r="E45" s="52" t="s">
        <v>250</v>
      </c>
      <c r="S45" s="67"/>
    </row>
    <row r="46" spans="1:19" ht="18" customHeight="1" x14ac:dyDescent="0.35">
      <c r="A46" s="57" t="s">
        <v>248</v>
      </c>
      <c r="B46" s="43" t="s">
        <v>258</v>
      </c>
      <c r="C46" s="43">
        <v>21.16</v>
      </c>
      <c r="D46" s="43" t="s">
        <v>72</v>
      </c>
      <c r="E46" s="52" t="s">
        <v>250</v>
      </c>
      <c r="N46" s="66"/>
    </row>
    <row r="47" spans="1:19" ht="18" x14ac:dyDescent="0.5">
      <c r="A47" s="57" t="s">
        <v>248</v>
      </c>
      <c r="B47" s="43" t="s">
        <v>259</v>
      </c>
      <c r="C47" s="43">
        <v>16.239999999999998</v>
      </c>
      <c r="D47" s="43" t="s">
        <v>72</v>
      </c>
      <c r="E47" s="52" t="s">
        <v>250</v>
      </c>
      <c r="G47" s="55"/>
    </row>
    <row r="48" spans="1:19" x14ac:dyDescent="0.35">
      <c r="A48" s="57" t="s">
        <v>260</v>
      </c>
      <c r="B48" s="43" t="s">
        <v>261</v>
      </c>
      <c r="C48" s="43">
        <v>2.5</v>
      </c>
      <c r="D48" s="43" t="s">
        <v>72</v>
      </c>
      <c r="E48" s="52" t="s">
        <v>194</v>
      </c>
    </row>
    <row r="49" spans="1:6" ht="15" customHeight="1" x14ac:dyDescent="0.35">
      <c r="A49" s="57" t="s">
        <v>260</v>
      </c>
      <c r="B49" s="43" t="s">
        <v>242</v>
      </c>
      <c r="C49" s="43">
        <v>4.0999999999999996</v>
      </c>
      <c r="D49" s="43" t="s">
        <v>72</v>
      </c>
      <c r="E49" s="54" t="s">
        <v>243</v>
      </c>
    </row>
    <row r="50" spans="1:6" ht="18" x14ac:dyDescent="0.5">
      <c r="A50" s="57" t="s">
        <v>260</v>
      </c>
      <c r="B50" s="43" t="s">
        <v>262</v>
      </c>
      <c r="C50" s="43">
        <v>1.2</v>
      </c>
      <c r="D50" s="43" t="s">
        <v>72</v>
      </c>
      <c r="E50" s="52" t="s">
        <v>263</v>
      </c>
      <c r="F50" s="58"/>
    </row>
    <row r="51" spans="1:6" ht="18" x14ac:dyDescent="0.5">
      <c r="A51" s="57" t="s">
        <v>260</v>
      </c>
      <c r="B51" s="43" t="s">
        <v>264</v>
      </c>
      <c r="C51" s="43">
        <v>1.74</v>
      </c>
      <c r="D51" s="43" t="s">
        <v>72</v>
      </c>
      <c r="E51" s="52" t="s">
        <v>265</v>
      </c>
      <c r="F51" s="58"/>
    </row>
    <row r="52" spans="1:6" ht="30" customHeight="1" x14ac:dyDescent="0.5">
      <c r="A52" s="57" t="s">
        <v>260</v>
      </c>
      <c r="B52" s="43" t="s">
        <v>266</v>
      </c>
      <c r="C52" s="43">
        <v>2.74</v>
      </c>
      <c r="D52" s="43" t="s">
        <v>72</v>
      </c>
      <c r="E52" s="54" t="s">
        <v>267</v>
      </c>
      <c r="F52" s="58"/>
    </row>
    <row r="53" spans="1:6" ht="30" customHeight="1" x14ac:dyDescent="0.5">
      <c r="A53" s="57" t="s">
        <v>260</v>
      </c>
      <c r="B53" s="43" t="s">
        <v>268</v>
      </c>
      <c r="C53" s="43">
        <v>2.5</v>
      </c>
      <c r="D53" s="43" t="s">
        <v>72</v>
      </c>
      <c r="E53" s="52" t="s">
        <v>194</v>
      </c>
      <c r="F53" s="58"/>
    </row>
    <row r="54" spans="1:6" x14ac:dyDescent="0.35">
      <c r="A54" s="57" t="s">
        <v>269</v>
      </c>
      <c r="B54" s="43" t="s">
        <v>270</v>
      </c>
      <c r="C54" s="43">
        <v>7.08</v>
      </c>
      <c r="D54" s="43" t="s">
        <v>72</v>
      </c>
      <c r="E54" s="52" t="s">
        <v>271</v>
      </c>
    </row>
    <row r="55" spans="1:6" x14ac:dyDescent="0.35">
      <c r="A55" s="57" t="s">
        <v>269</v>
      </c>
      <c r="B55" s="43" t="s">
        <v>272</v>
      </c>
      <c r="C55" s="43">
        <v>3.25</v>
      </c>
      <c r="D55" s="43" t="s">
        <v>72</v>
      </c>
      <c r="E55" s="52" t="s">
        <v>273</v>
      </c>
    </row>
    <row r="56" spans="1:6" x14ac:dyDescent="0.35">
      <c r="A56" s="57" t="s">
        <v>269</v>
      </c>
      <c r="B56" s="43" t="s">
        <v>274</v>
      </c>
      <c r="C56" s="43">
        <v>7.1</v>
      </c>
      <c r="D56" s="43" t="s">
        <v>72</v>
      </c>
      <c r="E56" s="52" t="s">
        <v>275</v>
      </c>
    </row>
    <row r="57" spans="1:6" x14ac:dyDescent="0.35">
      <c r="A57" s="57" t="s">
        <v>269</v>
      </c>
      <c r="B57" s="43" t="s">
        <v>276</v>
      </c>
      <c r="C57" s="43">
        <v>0.33100000000000002</v>
      </c>
      <c r="D57" s="43" t="s">
        <v>72</v>
      </c>
      <c r="E57" s="52" t="s">
        <v>277</v>
      </c>
    </row>
    <row r="58" spans="1:6" x14ac:dyDescent="0.35">
      <c r="A58" s="57" t="s">
        <v>269</v>
      </c>
      <c r="B58" s="43" t="s">
        <v>278</v>
      </c>
      <c r="C58" s="43">
        <v>4.2</v>
      </c>
      <c r="D58" s="43" t="s">
        <v>72</v>
      </c>
      <c r="E58" s="52" t="s">
        <v>279</v>
      </c>
    </row>
    <row r="59" spans="1:6" x14ac:dyDescent="0.35">
      <c r="A59" s="57" t="s">
        <v>269</v>
      </c>
      <c r="B59" s="43" t="s">
        <v>200</v>
      </c>
      <c r="C59" s="43">
        <v>1.73</v>
      </c>
      <c r="D59" s="43" t="s">
        <v>72</v>
      </c>
      <c r="E59" s="52" t="s">
        <v>201</v>
      </c>
    </row>
    <row r="60" spans="1:6" x14ac:dyDescent="0.35">
      <c r="A60" s="57" t="s">
        <v>269</v>
      </c>
      <c r="B60" s="43" t="s">
        <v>280</v>
      </c>
      <c r="C60" s="43">
        <v>0.22700000000000001</v>
      </c>
      <c r="D60" s="43" t="s">
        <v>72</v>
      </c>
      <c r="E60" s="52" t="s">
        <v>281</v>
      </c>
    </row>
    <row r="61" spans="1:6" x14ac:dyDescent="0.35">
      <c r="A61" s="57" t="s">
        <v>269</v>
      </c>
      <c r="B61" s="43" t="s">
        <v>282</v>
      </c>
      <c r="C61" s="43">
        <v>0</v>
      </c>
      <c r="D61" s="43" t="s">
        <v>72</v>
      </c>
    </row>
    <row r="62" spans="1:6" x14ac:dyDescent="0.35">
      <c r="A62" s="57" t="s">
        <v>269</v>
      </c>
      <c r="B62" s="133" t="s">
        <v>283</v>
      </c>
      <c r="C62" s="132">
        <v>1</v>
      </c>
      <c r="D62" s="43" t="s">
        <v>72</v>
      </c>
      <c r="E62" s="131"/>
    </row>
    <row r="63" spans="1:6" x14ac:dyDescent="0.35">
      <c r="A63" s="57" t="s">
        <v>269</v>
      </c>
      <c r="B63" s="133" t="s">
        <v>284</v>
      </c>
      <c r="C63" s="132"/>
      <c r="D63" s="43" t="s">
        <v>72</v>
      </c>
      <c r="E63" s="131"/>
    </row>
    <row r="64" spans="1:6" x14ac:dyDescent="0.35">
      <c r="A64" s="57" t="s">
        <v>269</v>
      </c>
      <c r="B64" s="133" t="s">
        <v>285</v>
      </c>
      <c r="C64" s="132"/>
      <c r="D64" s="43" t="s">
        <v>72</v>
      </c>
      <c r="E64" s="131"/>
    </row>
    <row r="72" spans="1:36" x14ac:dyDescent="0.35">
      <c r="AB72" s="43"/>
      <c r="AC72" s="43"/>
      <c r="AG72" s="43"/>
      <c r="AH72" s="43"/>
    </row>
    <row r="73" spans="1:36" x14ac:dyDescent="0.35">
      <c r="AB73" s="43"/>
      <c r="AC73" s="43"/>
      <c r="AG73" s="43"/>
      <c r="AH73" s="43"/>
    </row>
    <row r="74" spans="1:36" hidden="1" x14ac:dyDescent="0.35">
      <c r="AB74" s="43"/>
      <c r="AC74" s="43"/>
      <c r="AG74" s="43"/>
      <c r="AH74" s="43"/>
    </row>
    <row r="75" spans="1:36" ht="17.25" hidden="1" customHeight="1" x14ac:dyDescent="0.5">
      <c r="A75" s="68" t="s">
        <v>286</v>
      </c>
      <c r="AB75" s="43"/>
      <c r="AC75" s="43"/>
      <c r="AG75" s="43"/>
      <c r="AH75" s="43"/>
    </row>
    <row r="76" spans="1:36" hidden="1" x14ac:dyDescent="0.35">
      <c r="AB76" s="43"/>
      <c r="AC76" s="43"/>
      <c r="AG76" s="43"/>
      <c r="AH76" s="43"/>
    </row>
    <row r="77" spans="1:36" ht="43.5" hidden="1" x14ac:dyDescent="0.35">
      <c r="A77" s="57" t="s">
        <v>74</v>
      </c>
      <c r="B77" s="43" t="s">
        <v>287</v>
      </c>
      <c r="C77" s="43" t="s">
        <v>70</v>
      </c>
      <c r="E77" s="50" t="s">
        <v>70</v>
      </c>
      <c r="F77" s="59" t="s">
        <v>23</v>
      </c>
      <c r="G77" s="46" t="s">
        <v>218</v>
      </c>
      <c r="H77" s="46" t="s">
        <v>234</v>
      </c>
      <c r="I77" s="63" t="s">
        <v>237</v>
      </c>
      <c r="J77" s="64" t="s">
        <v>248</v>
      </c>
      <c r="K77" s="46" t="s">
        <v>260</v>
      </c>
      <c r="L77" s="46" t="s">
        <v>269</v>
      </c>
      <c r="P77" s="46" t="s">
        <v>77</v>
      </c>
      <c r="Q77" s="46" t="s">
        <v>100</v>
      </c>
      <c r="R77" s="46" t="s">
        <v>111</v>
      </c>
      <c r="S77" s="50" t="s">
        <v>122</v>
      </c>
      <c r="T77" s="64" t="s">
        <v>133</v>
      </c>
      <c r="U77" s="112" t="s">
        <v>148</v>
      </c>
      <c r="V77" s="112" t="s">
        <v>161</v>
      </c>
      <c r="W77" s="63" t="s">
        <v>174</v>
      </c>
      <c r="X77" s="63" t="s">
        <v>181</v>
      </c>
      <c r="Y77" s="112" t="s">
        <v>191</v>
      </c>
      <c r="Z77" s="112" t="s">
        <v>288</v>
      </c>
      <c r="AB77" s="43"/>
      <c r="AC77" s="43" t="s">
        <v>87</v>
      </c>
      <c r="AE77" s="46" t="s">
        <v>89</v>
      </c>
      <c r="AF77" s="46" t="s">
        <v>289</v>
      </c>
      <c r="AG77" s="46" t="s">
        <v>290</v>
      </c>
      <c r="AH77" s="46" t="s">
        <v>291</v>
      </c>
      <c r="AI77" s="44"/>
    </row>
    <row r="78" spans="1:36" ht="43.5" hidden="1" x14ac:dyDescent="0.35">
      <c r="A78" s="57" t="s">
        <v>98</v>
      </c>
      <c r="B78" s="43" t="s">
        <v>292</v>
      </c>
      <c r="C78" s="43" t="s">
        <v>293</v>
      </c>
      <c r="E78" s="49" t="str">
        <f t="shared" ref="E78:E88" si="0">B4</f>
        <v>Aluminium (inom EU)</v>
      </c>
      <c r="F78" s="57" t="str">
        <f t="shared" ref="F78:F84" si="1">B15</f>
        <v>Betong</v>
      </c>
      <c r="G78" s="43" t="str">
        <f>B22</f>
        <v>Trä (barrträ)</v>
      </c>
      <c r="H78" s="43" t="str">
        <f>B30</f>
        <v>Glas</v>
      </c>
      <c r="I78" s="49" t="str">
        <f t="shared" ref="I78:I83" si="2">B32</f>
        <v>Plast</v>
      </c>
      <c r="J78" s="65" t="str">
        <f t="shared" ref="J78:J87" si="3">B38</f>
        <v>Garn (bomull)</v>
      </c>
      <c r="K78" s="43" t="str">
        <f>B48</f>
        <v>Färg, vattenburen akryl</v>
      </c>
      <c r="L78" s="43" t="str">
        <f>B54</f>
        <v>Silikon</v>
      </c>
      <c r="P78" s="43" t="s">
        <v>74</v>
      </c>
      <c r="Q78" s="43" t="s">
        <v>74</v>
      </c>
      <c r="R78" s="43" t="s">
        <v>74</v>
      </c>
      <c r="S78" s="49" t="s">
        <v>74</v>
      </c>
      <c r="T78" s="65" t="s">
        <v>74</v>
      </c>
      <c r="U78" s="44" t="s">
        <v>74</v>
      </c>
      <c r="V78" s="44" t="s">
        <v>74</v>
      </c>
      <c r="W78" s="62" t="s">
        <v>74</v>
      </c>
      <c r="X78" s="49" t="s">
        <v>74</v>
      </c>
      <c r="Y78" s="43" t="s">
        <v>74</v>
      </c>
      <c r="Z78" s="43" t="s">
        <v>159</v>
      </c>
      <c r="AB78" s="43"/>
      <c r="AC78" s="43" t="s">
        <v>105</v>
      </c>
      <c r="AE78" s="43" t="s">
        <v>89</v>
      </c>
      <c r="AF78" s="43" t="s">
        <v>294</v>
      </c>
      <c r="AG78" s="43">
        <v>138</v>
      </c>
      <c r="AH78" s="43">
        <f>AG78/365</f>
        <v>0.37808219178082192</v>
      </c>
      <c r="AI78" s="43" t="s">
        <v>295</v>
      </c>
      <c r="AJ78" s="44" t="s">
        <v>296</v>
      </c>
    </row>
    <row r="79" spans="1:36" ht="43.5" hidden="1" x14ac:dyDescent="0.35">
      <c r="A79" s="57" t="s">
        <v>109</v>
      </c>
      <c r="B79" s="43" t="s">
        <v>297</v>
      </c>
      <c r="C79" s="43" t="s">
        <v>218</v>
      </c>
      <c r="E79" s="49" t="str">
        <f t="shared" si="0"/>
        <v>Aluminium (övriga världen)</v>
      </c>
      <c r="F79" s="57" t="str">
        <f t="shared" si="1"/>
        <v>Betong (klimatförbättrad)</v>
      </c>
      <c r="G79" s="43" t="str">
        <f t="shared" ref="G79:G85" si="4">B23</f>
        <v>Trä (hårt träslag)</v>
      </c>
      <c r="H79" s="43" t="str">
        <f>B31</f>
        <v>Glasfiber</v>
      </c>
      <c r="I79" s="49" t="str">
        <f t="shared" si="2"/>
        <v>Plexiglas</v>
      </c>
      <c r="J79" s="65" t="str">
        <f t="shared" si="3"/>
        <v>Garn (lin)</v>
      </c>
      <c r="K79" s="43" t="str">
        <f t="shared" ref="K79:K83" si="5">B49</f>
        <v>Färg, epoxi</v>
      </c>
      <c r="L79" s="43" t="str">
        <f t="shared" ref="L79:L88" si="6">B55</f>
        <v>Fogmassa, övrigt</v>
      </c>
      <c r="P79" s="43" t="s">
        <v>98</v>
      </c>
      <c r="Q79" s="43" t="s">
        <v>98</v>
      </c>
      <c r="R79" s="43" t="s">
        <v>98</v>
      </c>
      <c r="S79" s="49" t="s">
        <v>98</v>
      </c>
      <c r="T79" s="65" t="s">
        <v>98</v>
      </c>
      <c r="U79" s="44" t="s">
        <v>98</v>
      </c>
      <c r="V79" s="44" t="s">
        <v>98</v>
      </c>
      <c r="W79" s="62" t="s">
        <v>98</v>
      </c>
      <c r="X79" s="49" t="s">
        <v>98</v>
      </c>
      <c r="Y79" s="43" t="s">
        <v>98</v>
      </c>
      <c r="Z79" s="43" t="s">
        <v>172</v>
      </c>
      <c r="AB79" s="43"/>
      <c r="AC79" s="43" t="s">
        <v>116</v>
      </c>
      <c r="AE79" s="43" t="s">
        <v>89</v>
      </c>
      <c r="AF79" s="43" t="s">
        <v>298</v>
      </c>
      <c r="AG79" s="43">
        <v>113</v>
      </c>
      <c r="AH79" s="43">
        <f t="shared" ref="AH79" si="7">AG79/365</f>
        <v>0.30958904109589042</v>
      </c>
      <c r="AI79" s="43" t="s">
        <v>295</v>
      </c>
      <c r="AJ79" s="44" t="s">
        <v>296</v>
      </c>
    </row>
    <row r="80" spans="1:36" ht="72.5" hidden="1" x14ac:dyDescent="0.35">
      <c r="A80" s="57" t="s">
        <v>120</v>
      </c>
      <c r="B80" s="43" t="s">
        <v>299</v>
      </c>
      <c r="C80" s="43" t="s">
        <v>234</v>
      </c>
      <c r="E80" s="49" t="str">
        <f t="shared" si="0"/>
        <v>Aluminium (skrotbaserad)</v>
      </c>
      <c r="F80" s="57" t="str">
        <f t="shared" si="1"/>
        <v>Tegel</v>
      </c>
      <c r="G80" s="43" t="str">
        <f t="shared" si="4"/>
        <v>Obearbetat timmer</v>
      </c>
      <c r="I80" s="49" t="str">
        <f t="shared" si="2"/>
        <v xml:space="preserve">Polyesterplast </v>
      </c>
      <c r="J80" s="65" t="str">
        <f t="shared" si="3"/>
        <v>Garn (ull)</v>
      </c>
      <c r="K80" s="43" t="str">
        <f t="shared" si="5"/>
        <v>Färg, silikat</v>
      </c>
      <c r="L80" s="43" t="str">
        <f t="shared" si="6"/>
        <v>Belysning (LED)</v>
      </c>
      <c r="P80" s="43" t="s">
        <v>109</v>
      </c>
      <c r="Q80" s="43" t="s">
        <v>109</v>
      </c>
      <c r="R80" s="43" t="s">
        <v>109</v>
      </c>
      <c r="S80" s="49" t="s">
        <v>109</v>
      </c>
      <c r="T80" s="65" t="s">
        <v>109</v>
      </c>
      <c r="U80" s="44" t="s">
        <v>109</v>
      </c>
      <c r="V80" s="44" t="s">
        <v>109</v>
      </c>
      <c r="W80" s="62" t="s">
        <v>109</v>
      </c>
      <c r="X80" s="49" t="s">
        <v>109</v>
      </c>
      <c r="Y80" s="43" t="s">
        <v>109</v>
      </c>
      <c r="Z80" s="43" t="s">
        <v>179</v>
      </c>
      <c r="AB80" s="43"/>
      <c r="AC80" s="43" t="s">
        <v>300</v>
      </c>
      <c r="AE80" s="43" t="s">
        <v>89</v>
      </c>
      <c r="AF80" s="43" t="s">
        <v>301</v>
      </c>
      <c r="AG80" s="43">
        <v>28.25</v>
      </c>
      <c r="AH80" s="43">
        <f>AG80/365</f>
        <v>7.7397260273972604E-2</v>
      </c>
      <c r="AI80" s="43" t="s">
        <v>295</v>
      </c>
      <c r="AJ80" s="44" t="s">
        <v>302</v>
      </c>
    </row>
    <row r="81" spans="1:37" hidden="1" x14ac:dyDescent="0.35">
      <c r="A81" s="57" t="s">
        <v>131</v>
      </c>
      <c r="B81" s="43" t="s">
        <v>303</v>
      </c>
      <c r="C81" s="43" t="s">
        <v>237</v>
      </c>
      <c r="E81" s="49" t="str">
        <f t="shared" si="0"/>
        <v>Stål</v>
      </c>
      <c r="F81" s="57" t="str">
        <f t="shared" si="1"/>
        <v>Sten (granit, bearbetad)</v>
      </c>
      <c r="G81" s="43" t="str">
        <f t="shared" si="4"/>
        <v>Plywood</v>
      </c>
      <c r="I81" s="49" t="str">
        <f t="shared" si="2"/>
        <v>Färg, epoxi</v>
      </c>
      <c r="J81" s="65" t="str">
        <f t="shared" si="3"/>
        <v>Garn (silke)</v>
      </c>
      <c r="K81" s="43" t="str">
        <f t="shared" si="5"/>
        <v>Färg, vinyl</v>
      </c>
      <c r="L81" s="43" t="str">
        <f t="shared" si="6"/>
        <v>Papp och kartong</v>
      </c>
      <c r="P81" s="43" t="s">
        <v>120</v>
      </c>
      <c r="Q81" s="43" t="s">
        <v>120</v>
      </c>
      <c r="R81" s="43" t="s">
        <v>120</v>
      </c>
      <c r="S81" s="49" t="s">
        <v>120</v>
      </c>
      <c r="T81" s="65" t="s">
        <v>120</v>
      </c>
      <c r="U81" s="44" t="s">
        <v>120</v>
      </c>
      <c r="V81" s="44" t="s">
        <v>120</v>
      </c>
      <c r="W81" s="62" t="s">
        <v>120</v>
      </c>
      <c r="X81" s="49" t="s">
        <v>120</v>
      </c>
      <c r="Y81" s="43" t="s">
        <v>120</v>
      </c>
      <c r="AB81" s="43"/>
      <c r="AC81" s="43" t="s">
        <v>164</v>
      </c>
      <c r="AE81" s="43" t="s">
        <v>89</v>
      </c>
      <c r="AG81" s="43"/>
      <c r="AH81" s="43"/>
    </row>
    <row r="82" spans="1:37" hidden="1" x14ac:dyDescent="0.35">
      <c r="A82" s="57" t="s">
        <v>146</v>
      </c>
      <c r="B82" s="43" t="s">
        <v>304</v>
      </c>
      <c r="C82" s="43" t="s">
        <v>248</v>
      </c>
      <c r="E82" s="49" t="str">
        <f t="shared" si="0"/>
        <v>Stål 100 Skrotbaserat</v>
      </c>
      <c r="F82" s="57" t="str">
        <f t="shared" si="1"/>
        <v>Sten (obearbetad)</v>
      </c>
      <c r="G82" s="43" t="str">
        <f t="shared" si="4"/>
        <v>MDF-skiva</v>
      </c>
      <c r="I82" s="49" t="str">
        <f t="shared" si="2"/>
        <v>Cellplast XPS</v>
      </c>
      <c r="J82" s="65" t="str">
        <f t="shared" si="3"/>
        <v>Garn (polyester)</v>
      </c>
      <c r="K82" s="43" t="str">
        <f t="shared" si="5"/>
        <v>Klarlack</v>
      </c>
      <c r="L82" s="43" t="str">
        <f t="shared" si="6"/>
        <v>Elkabel, lågspänning</v>
      </c>
      <c r="P82" s="43" t="s">
        <v>131</v>
      </c>
      <c r="Q82" s="43" t="s">
        <v>131</v>
      </c>
      <c r="R82" s="43" t="s">
        <v>131</v>
      </c>
      <c r="S82" s="49" t="s">
        <v>131</v>
      </c>
      <c r="T82" s="65" t="s">
        <v>131</v>
      </c>
      <c r="U82" s="44" t="s">
        <v>131</v>
      </c>
      <c r="V82" s="44" t="s">
        <v>131</v>
      </c>
      <c r="W82" s="62" t="s">
        <v>131</v>
      </c>
      <c r="X82" s="49" t="s">
        <v>131</v>
      </c>
      <c r="Y82" s="43" t="s">
        <v>131</v>
      </c>
      <c r="AB82" s="43"/>
      <c r="AC82" s="43"/>
      <c r="AG82" s="43"/>
      <c r="AH82" s="43"/>
    </row>
    <row r="83" spans="1:37" hidden="1" x14ac:dyDescent="0.35">
      <c r="A83" s="57" t="s">
        <v>159</v>
      </c>
      <c r="B83" s="43" t="s">
        <v>146</v>
      </c>
      <c r="C83" s="43" t="s">
        <v>260</v>
      </c>
      <c r="E83" s="49" t="str">
        <f t="shared" si="0"/>
        <v>Rostfritt stål</v>
      </c>
      <c r="F83" s="57" t="str">
        <f t="shared" si="1"/>
        <v>Kakel</v>
      </c>
      <c r="G83" s="43" t="str">
        <f t="shared" si="4"/>
        <v>Spånskiva</v>
      </c>
      <c r="I83" s="49" t="str">
        <f t="shared" si="2"/>
        <v>Cellplast EPS</v>
      </c>
      <c r="J83" s="65" t="str">
        <f t="shared" si="3"/>
        <v>Tyg (bomull)</v>
      </c>
      <c r="K83" s="43" t="str">
        <f t="shared" si="5"/>
        <v>Gelcoat</v>
      </c>
      <c r="L83" s="43" t="str">
        <f t="shared" si="6"/>
        <v>Vax (paraffin)</v>
      </c>
      <c r="P83" s="43" t="s">
        <v>146</v>
      </c>
      <c r="Q83" s="43" t="s">
        <v>146</v>
      </c>
      <c r="R83" s="43" t="s">
        <v>146</v>
      </c>
      <c r="S83" s="49" t="s">
        <v>146</v>
      </c>
      <c r="W83" s="49"/>
      <c r="X83" s="49"/>
      <c r="AB83" s="43"/>
      <c r="AC83" s="43"/>
      <c r="AG83" s="43"/>
      <c r="AH83" s="43"/>
    </row>
    <row r="84" spans="1:37" hidden="1" x14ac:dyDescent="0.35">
      <c r="A84" s="57" t="s">
        <v>172</v>
      </c>
      <c r="C84" s="43" t="s">
        <v>269</v>
      </c>
      <c r="E84" s="49" t="str">
        <f t="shared" si="0"/>
        <v>Plåt</v>
      </c>
      <c r="F84" s="57" t="str">
        <f t="shared" si="1"/>
        <v>Klinker</v>
      </c>
      <c r="G84" s="43" t="str">
        <f t="shared" si="4"/>
        <v>Tryckimpregnerat virke, NTR A</v>
      </c>
      <c r="I84" s="49"/>
      <c r="J84" s="65" t="str">
        <f t="shared" si="3"/>
        <v>Tyg (linne)</v>
      </c>
      <c r="L84" s="43" t="str">
        <f t="shared" si="6"/>
        <v>Gips</v>
      </c>
      <c r="P84" s="43" t="s">
        <v>159</v>
      </c>
      <c r="Q84" s="43" t="s">
        <v>159</v>
      </c>
      <c r="R84" s="43" t="s">
        <v>159</v>
      </c>
      <c r="S84" s="49" t="s">
        <v>159</v>
      </c>
      <c r="W84" s="49"/>
      <c r="X84" s="49"/>
      <c r="AB84" s="43"/>
      <c r="AC84" s="43"/>
      <c r="AG84" s="43"/>
      <c r="AH84" s="43"/>
    </row>
    <row r="85" spans="1:37" hidden="1" x14ac:dyDescent="0.35">
      <c r="A85" s="57" t="s">
        <v>179</v>
      </c>
      <c r="E85" s="49" t="str">
        <f t="shared" si="0"/>
        <v>Brons</v>
      </c>
      <c r="G85" s="43" t="str">
        <f t="shared" si="4"/>
        <v>Tryckimpregnerat virke, NTR AB</v>
      </c>
      <c r="J85" s="65" t="str">
        <f t="shared" si="3"/>
        <v>Tyg (ull)</v>
      </c>
      <c r="L85" s="43" t="str">
        <f t="shared" si="6"/>
        <v>Återbrukat material</v>
      </c>
      <c r="P85" s="43" t="s">
        <v>172</v>
      </c>
      <c r="Q85" s="43" t="s">
        <v>172</v>
      </c>
      <c r="R85" s="43" t="s">
        <v>172</v>
      </c>
      <c r="S85" s="49" t="s">
        <v>172</v>
      </c>
      <c r="W85" s="49"/>
      <c r="X85" s="49"/>
      <c r="Y85" s="49"/>
      <c r="Z85" s="49"/>
      <c r="AA85" s="49"/>
      <c r="AC85" s="49"/>
      <c r="AD85" s="49"/>
      <c r="AE85" s="49"/>
      <c r="AF85" s="49"/>
      <c r="AH85" s="49"/>
      <c r="AI85" s="49"/>
      <c r="AJ85" s="49"/>
    </row>
    <row r="86" spans="1:37" hidden="1" x14ac:dyDescent="0.35">
      <c r="E86" s="49" t="str">
        <f t="shared" si="0"/>
        <v>Koppar</v>
      </c>
      <c r="J86" s="65" t="str">
        <f t="shared" si="3"/>
        <v>Tyg (silke)</v>
      </c>
      <c r="L86" s="43" t="str">
        <f t="shared" si="6"/>
        <v>TEST</v>
      </c>
      <c r="P86" s="43" t="s">
        <v>179</v>
      </c>
      <c r="Q86" s="43" t="s">
        <v>179</v>
      </c>
      <c r="R86" s="43" t="s">
        <v>179</v>
      </c>
      <c r="S86" s="49" t="s">
        <v>179</v>
      </c>
      <c r="W86" s="49"/>
      <c r="X86" s="49"/>
      <c r="Y86" s="49"/>
      <c r="Z86" s="49"/>
      <c r="AA86" s="49"/>
      <c r="AC86" s="49"/>
      <c r="AD86" s="49"/>
      <c r="AE86" s="49"/>
      <c r="AF86" s="49"/>
      <c r="AH86" s="49"/>
      <c r="AI86" s="49"/>
      <c r="AK86" s="49"/>
    </row>
    <row r="87" spans="1:37" hidden="1" x14ac:dyDescent="0.35">
      <c r="E87" s="49" t="str">
        <f t="shared" si="0"/>
        <v>Tackjärn</v>
      </c>
      <c r="J87" s="65" t="str">
        <f t="shared" si="3"/>
        <v>Tyg (polyester)</v>
      </c>
      <c r="L87" s="43" t="str">
        <f t="shared" si="6"/>
        <v>d</v>
      </c>
      <c r="AB87" s="57"/>
      <c r="AC87" s="43"/>
      <c r="AF87" s="49"/>
      <c r="AG87" s="57"/>
      <c r="AH87" s="43"/>
      <c r="AK87" s="49"/>
    </row>
    <row r="88" spans="1:37" hidden="1" x14ac:dyDescent="0.35">
      <c r="E88" s="49" t="str">
        <f t="shared" si="0"/>
        <v>Tenn</v>
      </c>
      <c r="J88" s="65"/>
      <c r="L88" s="43" t="str">
        <f t="shared" si="6"/>
        <v>Eget värde/EPD</v>
      </c>
      <c r="AB88" s="57"/>
      <c r="AC88" s="43"/>
      <c r="AF88" s="49"/>
      <c r="AG88" s="57"/>
      <c r="AH88" s="43"/>
      <c r="AK88" s="49"/>
    </row>
    <row r="89" spans="1:37" hidden="1" x14ac:dyDescent="0.35">
      <c r="AB89" s="57"/>
      <c r="AC89" s="43"/>
      <c r="AF89" s="49"/>
      <c r="AG89" s="57"/>
      <c r="AH89" s="43"/>
      <c r="AK89" s="49"/>
    </row>
    <row r="90" spans="1:37" hidden="1" x14ac:dyDescent="0.35"/>
    <row r="91" spans="1:37" hidden="1" x14ac:dyDescent="0.35"/>
    <row r="92" spans="1:37" hidden="1" x14ac:dyDescent="0.35"/>
    <row r="93" spans="1:37" hidden="1" x14ac:dyDescent="0.35"/>
  </sheetData>
  <sheetProtection sheet="1" selectLockedCells="1"/>
  <phoneticPr fontId="4" type="noConversion"/>
  <dataValidations count="3">
    <dataValidation allowBlank="1" showInputMessage="1" showErrorMessage="1" prompt="I dessa fält finns möjlighet att lägga till egna värden från EPD:er eller andra källor. Enheten MÅSTE vara per kg, ifall klimatdata redovisas i någon annan enhet krävs en omräkning till kg." sqref="C62:C64" xr:uid="{AB6B2289-1BCD-4270-99AC-77929B42849D}"/>
    <dataValidation allowBlank="1" showInputMessage="1" showErrorMessage="1" prompt="Ange källa" sqref="E62:E64" xr:uid="{D16A49C8-5969-4D50-B283-CFCA1CE63BFC}"/>
    <dataValidation allowBlank="1" showInputMessage="1" showErrorMessage="1" prompt="Ange namn på material/produkt." sqref="B62:B64" xr:uid="{C9D531B8-BB94-4E97-800D-3E9174E856E4}"/>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4D02A-0F3F-4B4A-B52F-3CD58B69129F}">
  <dimension ref="A1:L51"/>
  <sheetViews>
    <sheetView zoomScale="85" zoomScaleNormal="85" workbookViewId="0">
      <selection activeCell="D54" sqref="D54"/>
    </sheetView>
  </sheetViews>
  <sheetFormatPr defaultRowHeight="14.5" x14ac:dyDescent="0.35"/>
  <cols>
    <col min="1" max="1" width="33" customWidth="1"/>
    <col min="2" max="2" width="24.453125" customWidth="1"/>
    <col min="3" max="3" width="14.81640625" style="74" customWidth="1"/>
    <col min="4" max="4" width="10.54296875" bestFit="1" customWidth="1"/>
    <col min="16" max="16" width="33.1796875" customWidth="1"/>
    <col min="18" max="18" width="32.54296875" customWidth="1"/>
  </cols>
  <sheetData>
    <row r="1" spans="1:12" x14ac:dyDescent="0.35">
      <c r="A1" s="2" t="s">
        <v>305</v>
      </c>
      <c r="B1" s="3" t="s">
        <v>306</v>
      </c>
      <c r="C1" s="72"/>
      <c r="D1" s="3"/>
      <c r="E1" s="3"/>
      <c r="F1" s="3"/>
      <c r="G1" s="3"/>
      <c r="H1" s="3"/>
      <c r="I1" s="4"/>
    </row>
    <row r="2" spans="1:12" x14ac:dyDescent="0.35">
      <c r="A2" s="5" t="s">
        <v>307</v>
      </c>
      <c r="B2" s="1" t="s">
        <v>308</v>
      </c>
      <c r="C2" s="73" t="s">
        <v>309</v>
      </c>
      <c r="D2" s="1" t="s">
        <v>287</v>
      </c>
      <c r="I2" s="6"/>
    </row>
    <row r="3" spans="1:12" x14ac:dyDescent="0.35">
      <c r="A3" s="7" t="s">
        <v>310</v>
      </c>
      <c r="B3">
        <v>62</v>
      </c>
      <c r="C3" s="74">
        <v>59</v>
      </c>
      <c r="D3">
        <v>41</v>
      </c>
      <c r="I3" s="6"/>
    </row>
    <row r="4" spans="1:12" x14ac:dyDescent="0.35">
      <c r="A4" s="7" t="s">
        <v>311</v>
      </c>
      <c r="B4">
        <v>70</v>
      </c>
      <c r="C4" s="74">
        <v>67</v>
      </c>
      <c r="D4">
        <v>47</v>
      </c>
      <c r="I4" s="6"/>
    </row>
    <row r="5" spans="1:12" x14ac:dyDescent="0.35">
      <c r="A5" s="7" t="s">
        <v>312</v>
      </c>
      <c r="B5">
        <v>106</v>
      </c>
      <c r="C5" s="74">
        <v>102</v>
      </c>
      <c r="D5">
        <v>71</v>
      </c>
      <c r="I5" s="6"/>
    </row>
    <row r="6" spans="1:12" x14ac:dyDescent="0.35">
      <c r="A6" s="7" t="s">
        <v>313</v>
      </c>
      <c r="B6">
        <v>224</v>
      </c>
      <c r="C6" s="74">
        <v>217</v>
      </c>
      <c r="D6">
        <v>151</v>
      </c>
      <c r="I6" s="6"/>
    </row>
    <row r="7" spans="1:12" x14ac:dyDescent="0.35">
      <c r="A7" s="7" t="s">
        <v>314</v>
      </c>
      <c r="B7">
        <v>223</v>
      </c>
      <c r="C7" s="74">
        <v>218</v>
      </c>
      <c r="D7">
        <v>152</v>
      </c>
      <c r="I7" s="6"/>
    </row>
    <row r="8" spans="1:12" x14ac:dyDescent="0.35">
      <c r="A8" s="7" t="s">
        <v>315</v>
      </c>
      <c r="B8">
        <v>813</v>
      </c>
      <c r="C8" s="74">
        <v>779</v>
      </c>
      <c r="D8">
        <v>542</v>
      </c>
      <c r="I8" s="6"/>
    </row>
    <row r="9" spans="1:12" x14ac:dyDescent="0.35">
      <c r="A9" s="8" t="s">
        <v>316</v>
      </c>
      <c r="B9" s="9">
        <f>AVERAGE(B3:B8)</f>
        <v>249.66666666666666</v>
      </c>
      <c r="C9" s="75">
        <f t="shared" ref="C9:D9" si="0">AVERAGE(C3:C8)</f>
        <v>240.33333333333334</v>
      </c>
      <c r="D9" s="9">
        <f t="shared" si="0"/>
        <v>167.33333333333334</v>
      </c>
      <c r="I9" s="6"/>
    </row>
    <row r="10" spans="1:12" ht="15" thickBot="1" x14ac:dyDescent="0.4">
      <c r="A10" s="10" t="s">
        <v>317</v>
      </c>
      <c r="B10" s="11">
        <f>B9/1000</f>
        <v>0.24966666666666665</v>
      </c>
      <c r="C10" s="76">
        <f t="shared" ref="C10:D10" si="1">C9/1000</f>
        <v>0.24033333333333334</v>
      </c>
      <c r="D10" s="11">
        <f t="shared" si="1"/>
        <v>0.16733333333333333</v>
      </c>
      <c r="E10" s="12"/>
      <c r="F10" s="12"/>
      <c r="G10" s="12"/>
      <c r="H10" s="12"/>
      <c r="I10" s="13"/>
    </row>
    <row r="11" spans="1:12" ht="15" thickBot="1" x14ac:dyDescent="0.4"/>
    <row r="12" spans="1:12" x14ac:dyDescent="0.35">
      <c r="A12" s="2" t="s">
        <v>305</v>
      </c>
      <c r="B12" s="3" t="s">
        <v>318</v>
      </c>
      <c r="C12" s="72"/>
      <c r="D12" s="3"/>
      <c r="E12" s="3"/>
      <c r="F12" s="3"/>
      <c r="G12" s="3"/>
      <c r="H12" s="3"/>
      <c r="I12" s="3"/>
      <c r="J12" s="3"/>
      <c r="K12" s="3"/>
      <c r="L12" s="4"/>
    </row>
    <row r="13" spans="1:12" x14ac:dyDescent="0.35">
      <c r="A13" s="5" t="s">
        <v>319</v>
      </c>
      <c r="L13" s="6"/>
    </row>
    <row r="14" spans="1:12" x14ac:dyDescent="0.35">
      <c r="A14" s="7" t="s">
        <v>320</v>
      </c>
      <c r="B14">
        <v>2.1</v>
      </c>
      <c r="L14" s="6"/>
    </row>
    <row r="15" spans="1:12" x14ac:dyDescent="0.35">
      <c r="A15" s="7" t="s">
        <v>321</v>
      </c>
      <c r="B15">
        <v>0.97</v>
      </c>
      <c r="L15" s="6"/>
    </row>
    <row r="16" spans="1:12" x14ac:dyDescent="0.35">
      <c r="A16" s="7" t="s">
        <v>322</v>
      </c>
      <c r="B16">
        <v>0.74</v>
      </c>
      <c r="L16" s="6"/>
    </row>
    <row r="17" spans="1:12" x14ac:dyDescent="0.35">
      <c r="A17" s="8" t="s">
        <v>317</v>
      </c>
      <c r="B17" s="14">
        <f>AVERAGE(B14:B16)</f>
        <v>1.2700000000000002</v>
      </c>
      <c r="L17" s="6"/>
    </row>
    <row r="18" spans="1:12" ht="15" thickBot="1" x14ac:dyDescent="0.4">
      <c r="A18" s="15"/>
      <c r="B18" s="12"/>
      <c r="C18" s="77"/>
      <c r="D18" s="12"/>
      <c r="E18" s="12"/>
      <c r="F18" s="12"/>
      <c r="G18" s="12"/>
      <c r="H18" s="12"/>
      <c r="I18" s="12"/>
      <c r="J18" s="12"/>
      <c r="K18" s="12"/>
      <c r="L18" s="13"/>
    </row>
    <row r="19" spans="1:12" ht="15" thickBot="1" x14ac:dyDescent="0.4"/>
    <row r="20" spans="1:12" x14ac:dyDescent="0.35">
      <c r="A20" s="2" t="s">
        <v>323</v>
      </c>
      <c r="B20" s="16" t="s">
        <v>324</v>
      </c>
      <c r="C20" s="78" t="s">
        <v>186</v>
      </c>
      <c r="D20" s="3" t="s">
        <v>325</v>
      </c>
      <c r="E20" s="3"/>
      <c r="F20" s="3"/>
      <c r="G20" s="3"/>
      <c r="H20" s="3"/>
      <c r="I20" s="3"/>
      <c r="J20" s="3"/>
      <c r="K20" s="3"/>
      <c r="L20" s="4"/>
    </row>
    <row r="21" spans="1:12" x14ac:dyDescent="0.35">
      <c r="A21" s="7" t="s">
        <v>326</v>
      </c>
      <c r="B21">
        <v>7.6</v>
      </c>
      <c r="C21" s="74">
        <v>16.2</v>
      </c>
      <c r="L21" s="6"/>
    </row>
    <row r="22" spans="1:12" x14ac:dyDescent="0.35">
      <c r="A22" s="7" t="s">
        <v>327</v>
      </c>
      <c r="B22">
        <v>7</v>
      </c>
      <c r="C22" s="74">
        <v>15</v>
      </c>
      <c r="L22" s="6"/>
    </row>
    <row r="23" spans="1:12" x14ac:dyDescent="0.35">
      <c r="A23" s="7" t="s">
        <v>328</v>
      </c>
      <c r="B23">
        <f>AVERAGE(B21:B22)</f>
        <v>7.3</v>
      </c>
      <c r="C23" s="74">
        <f>AVERAGE(C21:C22)</f>
        <v>15.6</v>
      </c>
      <c r="L23" s="6"/>
    </row>
    <row r="24" spans="1:12" x14ac:dyDescent="0.35">
      <c r="A24" s="14" t="s">
        <v>317</v>
      </c>
      <c r="B24">
        <f>B23/1000</f>
        <v>7.3000000000000001E-3</v>
      </c>
      <c r="C24" s="74">
        <f>C23/1000</f>
        <v>1.5599999999999999E-2</v>
      </c>
      <c r="L24" s="6"/>
    </row>
    <row r="25" spans="1:12" x14ac:dyDescent="0.35">
      <c r="A25" s="7"/>
      <c r="L25" s="6"/>
    </row>
    <row r="26" spans="1:12" x14ac:dyDescent="0.35">
      <c r="A26" s="8" t="s">
        <v>329</v>
      </c>
      <c r="B26" s="14">
        <f>B24*0.8+C24*0.2</f>
        <v>8.9600000000000009E-3</v>
      </c>
      <c r="C26" s="79" t="s">
        <v>330</v>
      </c>
      <c r="L26" s="6"/>
    </row>
    <row r="27" spans="1:12" ht="15" thickBot="1" x14ac:dyDescent="0.4">
      <c r="A27" s="15"/>
      <c r="B27" s="12"/>
      <c r="C27" s="77"/>
      <c r="D27" s="12"/>
      <c r="E27" s="12"/>
      <c r="F27" s="12"/>
      <c r="G27" s="12"/>
      <c r="H27" s="12"/>
      <c r="I27" s="12"/>
      <c r="J27" s="12"/>
      <c r="K27" s="12"/>
      <c r="L27" s="13"/>
    </row>
    <row r="28" spans="1:12" ht="15" thickBot="1" x14ac:dyDescent="0.4"/>
    <row r="29" spans="1:12" x14ac:dyDescent="0.35">
      <c r="A29" s="2" t="s">
        <v>331</v>
      </c>
      <c r="B29" s="3" t="s">
        <v>332</v>
      </c>
      <c r="C29" s="72"/>
      <c r="D29" s="3"/>
      <c r="E29" s="3"/>
      <c r="F29" s="3"/>
      <c r="G29" s="3"/>
      <c r="H29" s="3"/>
      <c r="I29" s="3"/>
      <c r="J29" s="3"/>
      <c r="K29" s="3"/>
      <c r="L29" s="4"/>
    </row>
    <row r="30" spans="1:12" x14ac:dyDescent="0.35">
      <c r="A30" s="7" t="s">
        <v>333</v>
      </c>
      <c r="B30" t="s">
        <v>334</v>
      </c>
      <c r="C30" s="74">
        <v>10.6</v>
      </c>
      <c r="L30" s="6"/>
    </row>
    <row r="31" spans="1:12" x14ac:dyDescent="0.35">
      <c r="A31" s="7"/>
      <c r="B31" t="s">
        <v>335</v>
      </c>
      <c r="C31" s="74">
        <v>8.5</v>
      </c>
      <c r="L31" s="6"/>
    </row>
    <row r="32" spans="1:12" x14ac:dyDescent="0.35">
      <c r="A32" s="7" t="s">
        <v>336</v>
      </c>
      <c r="B32" t="s">
        <v>334</v>
      </c>
      <c r="C32" s="74">
        <v>5.2</v>
      </c>
      <c r="L32" s="6"/>
    </row>
    <row r="33" spans="1:12" x14ac:dyDescent="0.35">
      <c r="A33" s="7"/>
      <c r="B33" t="s">
        <v>335</v>
      </c>
      <c r="C33" s="74">
        <v>4.2</v>
      </c>
      <c r="L33" s="6"/>
    </row>
    <row r="34" spans="1:12" x14ac:dyDescent="0.35">
      <c r="A34" s="7" t="s">
        <v>337</v>
      </c>
      <c r="B34" t="s">
        <v>334</v>
      </c>
      <c r="C34" s="74">
        <v>29</v>
      </c>
      <c r="L34" s="6"/>
    </row>
    <row r="35" spans="1:12" x14ac:dyDescent="0.35">
      <c r="A35" s="7"/>
      <c r="B35" t="s">
        <v>335</v>
      </c>
      <c r="C35" s="74">
        <v>20</v>
      </c>
      <c r="L35" s="6"/>
    </row>
    <row r="36" spans="1:12" x14ac:dyDescent="0.35">
      <c r="A36" s="7" t="s">
        <v>338</v>
      </c>
      <c r="B36" t="s">
        <v>334</v>
      </c>
      <c r="C36" s="74">
        <v>24</v>
      </c>
      <c r="L36" s="6"/>
    </row>
    <row r="37" spans="1:12" x14ac:dyDescent="0.35">
      <c r="A37" s="7"/>
      <c r="B37" t="s">
        <v>335</v>
      </c>
      <c r="C37" s="74">
        <v>17</v>
      </c>
      <c r="L37" s="6"/>
    </row>
    <row r="38" spans="1:12" x14ac:dyDescent="0.35">
      <c r="A38" s="7" t="s">
        <v>339</v>
      </c>
      <c r="B38" t="s">
        <v>334</v>
      </c>
      <c r="C38" s="74">
        <v>21</v>
      </c>
      <c r="L38" s="6"/>
    </row>
    <row r="39" spans="1:12" x14ac:dyDescent="0.35">
      <c r="A39" s="7"/>
      <c r="B39" t="s">
        <v>335</v>
      </c>
      <c r="C39" s="74">
        <v>15</v>
      </c>
      <c r="L39" s="6"/>
    </row>
    <row r="40" spans="1:12" x14ac:dyDescent="0.35">
      <c r="A40" s="7" t="s">
        <v>340</v>
      </c>
      <c r="B40" t="s">
        <v>334</v>
      </c>
      <c r="C40" s="74">
        <v>16</v>
      </c>
      <c r="L40" s="6"/>
    </row>
    <row r="41" spans="1:12" x14ac:dyDescent="0.35">
      <c r="A41" s="7"/>
      <c r="B41" t="s">
        <v>335</v>
      </c>
      <c r="C41" s="74">
        <v>11</v>
      </c>
      <c r="L41" s="6"/>
    </row>
    <row r="42" spans="1:12" x14ac:dyDescent="0.35">
      <c r="A42" s="7" t="s">
        <v>341</v>
      </c>
      <c r="B42" t="s">
        <v>334</v>
      </c>
      <c r="C42" s="74">
        <v>12</v>
      </c>
      <c r="L42" s="6"/>
    </row>
    <row r="43" spans="1:12" x14ac:dyDescent="0.35">
      <c r="A43" s="7"/>
      <c r="B43" t="s">
        <v>335</v>
      </c>
      <c r="C43" s="74">
        <v>8</v>
      </c>
      <c r="L43" s="6"/>
    </row>
    <row r="44" spans="1:12" x14ac:dyDescent="0.35">
      <c r="A44" s="7" t="s">
        <v>342</v>
      </c>
      <c r="B44" t="s">
        <v>334</v>
      </c>
      <c r="C44" s="74">
        <v>9</v>
      </c>
      <c r="L44" s="6"/>
    </row>
    <row r="45" spans="1:12" x14ac:dyDescent="0.35">
      <c r="A45" s="7"/>
      <c r="B45" t="s">
        <v>335</v>
      </c>
      <c r="C45" s="74">
        <v>6</v>
      </c>
      <c r="L45" s="6"/>
    </row>
    <row r="46" spans="1:12" x14ac:dyDescent="0.35">
      <c r="A46" s="8" t="s">
        <v>316</v>
      </c>
      <c r="B46" s="14"/>
      <c r="C46" s="80">
        <f>AVERAGE(C30:C45)</f>
        <v>13.53125</v>
      </c>
      <c r="L46" s="6"/>
    </row>
    <row r="47" spans="1:12" x14ac:dyDescent="0.35">
      <c r="A47" s="14" t="s">
        <v>317</v>
      </c>
      <c r="B47" s="14"/>
      <c r="C47" s="80">
        <f>C46/1000</f>
        <v>1.353125E-2</v>
      </c>
      <c r="D47" s="14" t="s">
        <v>330</v>
      </c>
      <c r="L47" s="6"/>
    </row>
    <row r="48" spans="1:12" ht="15" thickBot="1" x14ac:dyDescent="0.4">
      <c r="A48" s="15"/>
      <c r="B48" s="12"/>
      <c r="C48" s="77"/>
      <c r="D48" s="12"/>
      <c r="E48" s="12"/>
      <c r="F48" s="12"/>
      <c r="G48" s="12"/>
      <c r="H48" s="12"/>
      <c r="I48" s="12"/>
      <c r="J48" s="12"/>
      <c r="K48" s="12"/>
      <c r="L48" s="13"/>
    </row>
    <row r="50" spans="1:3" x14ac:dyDescent="0.35">
      <c r="A50" s="1" t="s">
        <v>343</v>
      </c>
      <c r="B50" s="1" t="s">
        <v>11</v>
      </c>
      <c r="C50" s="73" t="s">
        <v>344</v>
      </c>
    </row>
    <row r="51" spans="1:3" x14ac:dyDescent="0.35">
      <c r="A51" t="s">
        <v>345</v>
      </c>
      <c r="B51">
        <v>5.0000000000000001E-4</v>
      </c>
      <c r="C51" s="74" t="s">
        <v>346</v>
      </c>
    </row>
  </sheetData>
  <sheetProtection algorithmName="SHA-512" hashValue="UO+ukI1IBe05oah6rkCP/fCPUaCu3ObfUst4s87dydvU2TV7ke7CnVsy0r1YWT8dXFtiG+bn1NbCA4ywcu2hOg==" saltValue="+/HMX0nCR569NOAF4QUEGw==" spinCount="100000" sheet="1" select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2E583-3406-49FD-A175-F49B6E14DB9F}">
  <dimension ref="A1:I214"/>
  <sheetViews>
    <sheetView view="pageBreakPreview" zoomScale="90" zoomScaleNormal="100" zoomScaleSheetLayoutView="90" zoomScalePageLayoutView="110" workbookViewId="0">
      <selection activeCell="N197" sqref="N197"/>
    </sheetView>
  </sheetViews>
  <sheetFormatPr defaultRowHeight="14.5" x14ac:dyDescent="0.35"/>
  <cols>
    <col min="1" max="1" width="10.7265625" bestFit="1" customWidth="1"/>
    <col min="6" max="6" width="11.54296875" customWidth="1"/>
    <col min="9" max="9" width="8.7265625" customWidth="1"/>
  </cols>
  <sheetData>
    <row r="1" spans="1:9" x14ac:dyDescent="0.35">
      <c r="A1" s="19"/>
      <c r="B1" s="19"/>
      <c r="C1" s="19"/>
      <c r="D1" s="19"/>
      <c r="E1" s="19"/>
      <c r="F1" s="19"/>
      <c r="G1" s="19"/>
      <c r="H1" s="19"/>
      <c r="I1" s="19"/>
    </row>
    <row r="2" spans="1:9" ht="9" customHeight="1" x14ac:dyDescent="0.35">
      <c r="A2" s="19"/>
      <c r="B2" s="19"/>
      <c r="C2" s="19"/>
      <c r="D2" s="19"/>
      <c r="E2" s="19"/>
      <c r="F2" s="19"/>
      <c r="G2" s="19"/>
      <c r="H2" s="19"/>
      <c r="I2" s="19"/>
    </row>
    <row r="3" spans="1:9" ht="24.75" customHeight="1" x14ac:dyDescent="0.35">
      <c r="A3" s="197" t="s">
        <v>347</v>
      </c>
      <c r="B3" s="197"/>
      <c r="C3" s="197"/>
      <c r="D3" s="197"/>
      <c r="E3" s="197"/>
      <c r="F3" s="197"/>
      <c r="G3" s="197"/>
      <c r="H3" s="197"/>
      <c r="I3" s="197"/>
    </row>
    <row r="4" spans="1:9" x14ac:dyDescent="0.35">
      <c r="A4" s="197"/>
      <c r="B4" s="197"/>
      <c r="C4" s="197"/>
      <c r="D4" s="197"/>
      <c r="E4" s="197"/>
      <c r="F4" s="197"/>
      <c r="G4" s="197"/>
      <c r="H4" s="197"/>
      <c r="I4" s="197"/>
    </row>
    <row r="5" spans="1:9" x14ac:dyDescent="0.35">
      <c r="A5" s="197"/>
      <c r="B5" s="197"/>
      <c r="C5" s="197"/>
      <c r="D5" s="197"/>
      <c r="E5" s="197"/>
      <c r="F5" s="197"/>
      <c r="G5" s="197"/>
      <c r="H5" s="197"/>
      <c r="I5" s="197"/>
    </row>
    <row r="6" spans="1:9" x14ac:dyDescent="0.35">
      <c r="A6" s="197"/>
      <c r="B6" s="197"/>
      <c r="C6" s="197"/>
      <c r="D6" s="197"/>
      <c r="E6" s="197"/>
      <c r="F6" s="197"/>
      <c r="G6" s="197"/>
      <c r="H6" s="197"/>
      <c r="I6" s="197"/>
    </row>
    <row r="7" spans="1:9" x14ac:dyDescent="0.35">
      <c r="A7" s="197"/>
      <c r="B7" s="197"/>
      <c r="C7" s="197"/>
      <c r="D7" s="197"/>
      <c r="E7" s="197"/>
      <c r="F7" s="197"/>
      <c r="G7" s="197"/>
      <c r="H7" s="197"/>
      <c r="I7" s="197"/>
    </row>
    <row r="8" spans="1:9" x14ac:dyDescent="0.35">
      <c r="A8" s="197"/>
      <c r="B8" s="197"/>
      <c r="C8" s="197"/>
      <c r="D8" s="197"/>
      <c r="E8" s="197"/>
      <c r="F8" s="197"/>
      <c r="G8" s="197"/>
      <c r="H8" s="197"/>
      <c r="I8" s="197"/>
    </row>
    <row r="9" spans="1:9" x14ac:dyDescent="0.35">
      <c r="A9" s="197"/>
      <c r="B9" s="197"/>
      <c r="C9" s="197"/>
      <c r="D9" s="197"/>
      <c r="E9" s="197"/>
      <c r="F9" s="197"/>
      <c r="G9" s="197"/>
      <c r="H9" s="197"/>
      <c r="I9" s="197"/>
    </row>
    <row r="10" spans="1:9" x14ac:dyDescent="0.35">
      <c r="A10" s="197"/>
      <c r="B10" s="197"/>
      <c r="C10" s="197"/>
      <c r="D10" s="197"/>
      <c r="E10" s="197"/>
      <c r="F10" s="197"/>
      <c r="G10" s="197"/>
      <c r="H10" s="197"/>
      <c r="I10" s="197"/>
    </row>
    <row r="11" spans="1:9" x14ac:dyDescent="0.35">
      <c r="A11" s="197"/>
      <c r="B11" s="197"/>
      <c r="C11" s="197"/>
      <c r="D11" s="197"/>
      <c r="E11" s="197"/>
      <c r="F11" s="197"/>
      <c r="G11" s="197"/>
      <c r="H11" s="197"/>
      <c r="I11" s="197"/>
    </row>
    <row r="12" spans="1:9" x14ac:dyDescent="0.35">
      <c r="A12" s="19"/>
      <c r="B12" s="19"/>
      <c r="C12" s="19"/>
      <c r="D12" s="19"/>
      <c r="E12" s="19"/>
      <c r="F12" s="19"/>
      <c r="G12" s="19"/>
      <c r="H12" s="19"/>
      <c r="I12" s="19"/>
    </row>
    <row r="13" spans="1:9" x14ac:dyDescent="0.35">
      <c r="A13" s="189" t="s">
        <v>348</v>
      </c>
      <c r="B13" s="189"/>
      <c r="C13" s="189"/>
      <c r="D13" s="189"/>
      <c r="E13" s="189"/>
      <c r="F13" s="189"/>
      <c r="G13" s="189"/>
      <c r="H13" s="189"/>
      <c r="I13" s="189"/>
    </row>
    <row r="14" spans="1:9" x14ac:dyDescent="0.35">
      <c r="A14" s="189"/>
      <c r="B14" s="189"/>
      <c r="C14" s="189"/>
      <c r="D14" s="189"/>
      <c r="E14" s="189"/>
      <c r="F14" s="189"/>
      <c r="G14" s="189"/>
      <c r="H14" s="189"/>
      <c r="I14" s="189"/>
    </row>
    <row r="15" spans="1:9" x14ac:dyDescent="0.35">
      <c r="A15" s="189"/>
      <c r="B15" s="189"/>
      <c r="C15" s="189"/>
      <c r="D15" s="189"/>
      <c r="E15" s="189"/>
      <c r="F15" s="189"/>
      <c r="G15" s="189"/>
      <c r="H15" s="189"/>
      <c r="I15" s="189"/>
    </row>
    <row r="16" spans="1:9" x14ac:dyDescent="0.35">
      <c r="A16" s="189"/>
      <c r="B16" s="189"/>
      <c r="C16" s="189"/>
      <c r="D16" s="189"/>
      <c r="E16" s="189"/>
      <c r="F16" s="189"/>
      <c r="G16" s="189"/>
      <c r="H16" s="189"/>
      <c r="I16" s="189"/>
    </row>
    <row r="17" spans="1:9" x14ac:dyDescent="0.35">
      <c r="A17" s="189"/>
      <c r="B17" s="189"/>
      <c r="C17" s="189"/>
      <c r="D17" s="189"/>
      <c r="E17" s="189"/>
      <c r="F17" s="189"/>
      <c r="G17" s="189"/>
      <c r="H17" s="189"/>
      <c r="I17" s="189"/>
    </row>
    <row r="18" spans="1:9" x14ac:dyDescent="0.35">
      <c r="A18" s="189"/>
      <c r="B18" s="189"/>
      <c r="C18" s="189"/>
      <c r="D18" s="189"/>
      <c r="E18" s="189"/>
      <c r="F18" s="189"/>
      <c r="G18" s="189"/>
      <c r="H18" s="189"/>
      <c r="I18" s="189"/>
    </row>
    <row r="19" spans="1:9" x14ac:dyDescent="0.35">
      <c r="A19" s="189"/>
      <c r="B19" s="189"/>
      <c r="C19" s="189"/>
      <c r="D19" s="189"/>
      <c r="E19" s="189"/>
      <c r="F19" s="189"/>
      <c r="G19" s="189"/>
      <c r="H19" s="189"/>
      <c r="I19" s="189"/>
    </row>
    <row r="20" spans="1:9" x14ac:dyDescent="0.35">
      <c r="A20" s="189"/>
      <c r="B20" s="189"/>
      <c r="C20" s="189"/>
      <c r="D20" s="189"/>
      <c r="E20" s="189"/>
      <c r="F20" s="189"/>
      <c r="G20" s="189"/>
      <c r="H20" s="189"/>
      <c r="I20" s="189"/>
    </row>
    <row r="21" spans="1:9" x14ac:dyDescent="0.35">
      <c r="A21" s="189"/>
      <c r="B21" s="189"/>
      <c r="C21" s="189"/>
      <c r="D21" s="189"/>
      <c r="E21" s="189"/>
      <c r="F21" s="189"/>
      <c r="G21" s="189"/>
      <c r="H21" s="189"/>
      <c r="I21" s="189"/>
    </row>
    <row r="22" spans="1:9" x14ac:dyDescent="0.35">
      <c r="A22" s="189"/>
      <c r="B22" s="189"/>
      <c r="C22" s="189"/>
      <c r="D22" s="189"/>
      <c r="E22" s="189"/>
      <c r="F22" s="189"/>
      <c r="G22" s="189"/>
      <c r="H22" s="189"/>
      <c r="I22" s="189"/>
    </row>
    <row r="23" spans="1:9" x14ac:dyDescent="0.35">
      <c r="A23" s="189"/>
      <c r="B23" s="189"/>
      <c r="C23" s="189"/>
      <c r="D23" s="189"/>
      <c r="E23" s="189"/>
      <c r="F23" s="189"/>
      <c r="G23" s="189"/>
      <c r="H23" s="189"/>
      <c r="I23" s="189"/>
    </row>
    <row r="24" spans="1:9" ht="26.25" customHeight="1" x14ac:dyDescent="0.35">
      <c r="A24" s="189"/>
      <c r="B24" s="189"/>
      <c r="C24" s="189"/>
      <c r="D24" s="189"/>
      <c r="E24" s="189"/>
      <c r="F24" s="189"/>
      <c r="G24" s="189"/>
      <c r="H24" s="189"/>
      <c r="I24" s="189"/>
    </row>
    <row r="25" spans="1:9" ht="22.5" customHeight="1" x14ac:dyDescent="0.35">
      <c r="A25" s="189"/>
      <c r="B25" s="189"/>
      <c r="C25" s="189"/>
      <c r="D25" s="189"/>
      <c r="E25" s="189"/>
      <c r="F25" s="189"/>
      <c r="G25" s="189"/>
      <c r="H25" s="189"/>
      <c r="I25" s="189"/>
    </row>
    <row r="26" spans="1:9" x14ac:dyDescent="0.35">
      <c r="A26" s="198" t="s">
        <v>349</v>
      </c>
      <c r="B26" s="197"/>
      <c r="C26" s="197"/>
      <c r="D26" s="197"/>
      <c r="E26" s="197"/>
      <c r="F26" s="197"/>
      <c r="G26" s="197"/>
      <c r="H26" s="197"/>
      <c r="I26" s="197"/>
    </row>
    <row r="27" spans="1:9" x14ac:dyDescent="0.35">
      <c r="A27" s="197"/>
      <c r="B27" s="197"/>
      <c r="C27" s="197"/>
      <c r="D27" s="197"/>
      <c r="E27" s="197"/>
      <c r="F27" s="197"/>
      <c r="G27" s="197"/>
      <c r="H27" s="197"/>
      <c r="I27" s="197"/>
    </row>
    <row r="28" spans="1:9" x14ac:dyDescent="0.35">
      <c r="A28" s="197"/>
      <c r="B28" s="197"/>
      <c r="C28" s="197"/>
      <c r="D28" s="197"/>
      <c r="E28" s="197"/>
      <c r="F28" s="197"/>
      <c r="G28" s="197"/>
      <c r="H28" s="197"/>
      <c r="I28" s="197"/>
    </row>
    <row r="29" spans="1:9" x14ac:dyDescent="0.35">
      <c r="A29" s="197"/>
      <c r="B29" s="197"/>
      <c r="C29" s="197"/>
      <c r="D29" s="197"/>
      <c r="E29" s="197"/>
      <c r="F29" s="197"/>
      <c r="G29" s="197"/>
      <c r="H29" s="197"/>
      <c r="I29" s="197"/>
    </row>
    <row r="30" spans="1:9" x14ac:dyDescent="0.35">
      <c r="A30" s="197"/>
      <c r="B30" s="197"/>
      <c r="C30" s="197"/>
      <c r="D30" s="197"/>
      <c r="E30" s="197"/>
      <c r="F30" s="197"/>
      <c r="G30" s="197"/>
      <c r="H30" s="197"/>
      <c r="I30" s="197"/>
    </row>
    <row r="31" spans="1:9" x14ac:dyDescent="0.35">
      <c r="A31" s="197"/>
      <c r="B31" s="197"/>
      <c r="C31" s="197"/>
      <c r="D31" s="197"/>
      <c r="E31" s="197"/>
      <c r="F31" s="197"/>
      <c r="G31" s="197"/>
      <c r="H31" s="197"/>
      <c r="I31" s="197"/>
    </row>
    <row r="32" spans="1:9" x14ac:dyDescent="0.35">
      <c r="A32" s="197"/>
      <c r="B32" s="197"/>
      <c r="C32" s="197"/>
      <c r="D32" s="197"/>
      <c r="E32" s="197"/>
      <c r="F32" s="197"/>
      <c r="G32" s="197"/>
      <c r="H32" s="197"/>
      <c r="I32" s="197"/>
    </row>
    <row r="33" spans="1:9" x14ac:dyDescent="0.35">
      <c r="A33" s="197"/>
      <c r="B33" s="197"/>
      <c r="C33" s="197"/>
      <c r="D33" s="197"/>
      <c r="E33" s="197"/>
      <c r="F33" s="197"/>
      <c r="G33" s="197"/>
      <c r="H33" s="197"/>
      <c r="I33" s="197"/>
    </row>
    <row r="34" spans="1:9" x14ac:dyDescent="0.35">
      <c r="A34" s="197"/>
      <c r="B34" s="197"/>
      <c r="C34" s="197"/>
      <c r="D34" s="197"/>
      <c r="E34" s="197"/>
      <c r="F34" s="197"/>
      <c r="G34" s="197"/>
      <c r="H34" s="197"/>
      <c r="I34" s="197"/>
    </row>
    <row r="35" spans="1:9" x14ac:dyDescent="0.35">
      <c r="A35" s="24"/>
      <c r="B35" s="24"/>
      <c r="C35" s="24"/>
      <c r="D35" s="24"/>
      <c r="E35" s="24"/>
      <c r="F35" s="24"/>
      <c r="G35" s="24"/>
      <c r="H35" s="24"/>
      <c r="I35" s="24"/>
    </row>
    <row r="36" spans="1:9" ht="15" customHeight="1" x14ac:dyDescent="0.35">
      <c r="A36" s="192" t="s">
        <v>350</v>
      </c>
      <c r="B36" s="192"/>
      <c r="C36" s="192"/>
      <c r="D36" s="192"/>
      <c r="E36" s="192"/>
      <c r="F36" s="192"/>
      <c r="G36" s="192"/>
      <c r="H36" s="192"/>
      <c r="I36" s="192"/>
    </row>
    <row r="37" spans="1:9" ht="15" customHeight="1" x14ac:dyDescent="0.35">
      <c r="A37" s="192"/>
      <c r="B37" s="192"/>
      <c r="C37" s="192"/>
      <c r="D37" s="192"/>
      <c r="E37" s="192"/>
      <c r="F37" s="192"/>
      <c r="G37" s="192"/>
      <c r="H37" s="192"/>
      <c r="I37" s="192"/>
    </row>
    <row r="38" spans="1:9" ht="15" customHeight="1" x14ac:dyDescent="0.35">
      <c r="A38" s="192"/>
      <c r="B38" s="192"/>
      <c r="C38" s="192"/>
      <c r="D38" s="192"/>
      <c r="E38" s="192"/>
      <c r="F38" s="192"/>
      <c r="G38" s="192"/>
      <c r="H38" s="192"/>
      <c r="I38" s="192"/>
    </row>
    <row r="39" spans="1:9" ht="120.75" customHeight="1" x14ac:dyDescent="0.35">
      <c r="A39" s="192"/>
      <c r="B39" s="192"/>
      <c r="C39" s="192"/>
      <c r="D39" s="192"/>
      <c r="E39" s="192"/>
      <c r="F39" s="192"/>
      <c r="G39" s="192"/>
      <c r="H39" s="192"/>
      <c r="I39" s="192"/>
    </row>
    <row r="40" spans="1:9" ht="15" customHeight="1" x14ac:dyDescent="0.35">
      <c r="A40" s="192"/>
      <c r="B40" s="192"/>
      <c r="C40" s="192"/>
      <c r="D40" s="192"/>
      <c r="E40" s="192"/>
      <c r="F40" s="192"/>
      <c r="G40" s="192"/>
      <c r="H40" s="192"/>
      <c r="I40" s="192"/>
    </row>
    <row r="41" spans="1:9" ht="167.25" customHeight="1" x14ac:dyDescent="0.35">
      <c r="A41" s="22"/>
      <c r="B41" s="22"/>
      <c r="C41" s="22"/>
      <c r="D41" s="22"/>
      <c r="E41" s="22"/>
      <c r="F41" s="22"/>
      <c r="G41" s="22"/>
      <c r="H41" s="22"/>
      <c r="I41" s="22"/>
    </row>
    <row r="42" spans="1:9" ht="15" customHeight="1" x14ac:dyDescent="0.35">
      <c r="A42" s="22"/>
      <c r="B42" s="22"/>
      <c r="C42" s="22"/>
      <c r="D42" s="22"/>
      <c r="E42" s="22"/>
      <c r="F42" s="22"/>
      <c r="G42" s="22"/>
      <c r="H42" s="22"/>
      <c r="I42" s="22"/>
    </row>
    <row r="43" spans="1:9" ht="15" customHeight="1" x14ac:dyDescent="0.35">
      <c r="A43" s="22"/>
      <c r="B43" s="22"/>
      <c r="C43" s="22"/>
      <c r="D43" s="22"/>
      <c r="E43" s="22"/>
      <c r="F43" s="22"/>
      <c r="G43" s="22"/>
      <c r="H43" s="22"/>
      <c r="I43" s="22"/>
    </row>
    <row r="44" spans="1:9" ht="15" customHeight="1" x14ac:dyDescent="0.35">
      <c r="A44" s="22"/>
      <c r="B44" s="22"/>
      <c r="C44" s="22"/>
      <c r="D44" s="22"/>
      <c r="E44" s="22"/>
      <c r="F44" s="22"/>
      <c r="G44" s="22"/>
      <c r="H44" s="22"/>
      <c r="I44" s="22"/>
    </row>
    <row r="45" spans="1:9" ht="15" customHeight="1" x14ac:dyDescent="0.35">
      <c r="A45" s="23" t="s">
        <v>351</v>
      </c>
      <c r="B45" s="22"/>
      <c r="C45" s="22"/>
      <c r="D45" s="22"/>
      <c r="E45" s="22"/>
      <c r="F45" s="22"/>
      <c r="G45" s="22"/>
      <c r="H45" s="22"/>
      <c r="I45" s="22"/>
    </row>
    <row r="46" spans="1:9" ht="22.5" customHeight="1" x14ac:dyDescent="0.35">
      <c r="A46" s="27" t="s">
        <v>352</v>
      </c>
      <c r="B46" s="22"/>
      <c r="C46" s="22"/>
      <c r="D46" s="22"/>
      <c r="E46" s="22"/>
      <c r="F46" s="22"/>
      <c r="G46" s="22"/>
      <c r="H46" s="22"/>
      <c r="I46" s="22"/>
    </row>
    <row r="47" spans="1:9" ht="15" customHeight="1" x14ac:dyDescent="0.35">
      <c r="A47" s="199" t="s">
        <v>353</v>
      </c>
      <c r="B47" s="200"/>
      <c r="C47" s="201"/>
      <c r="D47" s="202" t="s">
        <v>354</v>
      </c>
      <c r="E47" s="202"/>
      <c r="F47" s="202"/>
      <c r="G47" s="202" t="s">
        <v>355</v>
      </c>
      <c r="H47" s="202"/>
      <c r="I47" s="202"/>
    </row>
    <row r="48" spans="1:9" ht="51" customHeight="1" x14ac:dyDescent="0.35">
      <c r="A48" s="203" t="s">
        <v>356</v>
      </c>
      <c r="B48" s="204"/>
      <c r="C48" s="205"/>
      <c r="D48" s="191" t="s">
        <v>357</v>
      </c>
      <c r="E48" s="191"/>
      <c r="F48" s="191"/>
      <c r="G48" s="203"/>
      <c r="H48" s="204"/>
      <c r="I48" s="205"/>
    </row>
    <row r="49" spans="1:9" ht="34.5" customHeight="1" x14ac:dyDescent="0.35">
      <c r="A49" s="190" t="s">
        <v>56</v>
      </c>
      <c r="B49" s="190"/>
      <c r="C49" s="190"/>
      <c r="D49" s="191" t="s">
        <v>358</v>
      </c>
      <c r="E49" s="196"/>
      <c r="F49" s="196"/>
      <c r="G49" s="190"/>
      <c r="H49" s="190"/>
      <c r="I49" s="190"/>
    </row>
    <row r="50" spans="1:9" ht="30.75" customHeight="1" x14ac:dyDescent="0.35">
      <c r="A50" s="190" t="s">
        <v>47</v>
      </c>
      <c r="B50" s="190"/>
      <c r="C50" s="190"/>
      <c r="D50" s="195" t="s">
        <v>359</v>
      </c>
      <c r="E50" s="195"/>
      <c r="F50" s="195"/>
      <c r="G50" s="190" t="s">
        <v>360</v>
      </c>
      <c r="H50" s="190"/>
      <c r="I50" s="190"/>
    </row>
    <row r="51" spans="1:9" ht="45" customHeight="1" x14ac:dyDescent="0.35">
      <c r="A51" s="190" t="s">
        <v>41</v>
      </c>
      <c r="B51" s="190"/>
      <c r="C51" s="190"/>
      <c r="D51" s="191" t="s">
        <v>361</v>
      </c>
      <c r="E51" s="196"/>
      <c r="F51" s="196"/>
      <c r="G51" s="191" t="s">
        <v>362</v>
      </c>
      <c r="H51" s="196"/>
      <c r="I51" s="196"/>
    </row>
    <row r="52" spans="1:9" ht="33.75" customHeight="1" x14ac:dyDescent="0.35">
      <c r="A52" s="190" t="s">
        <v>363</v>
      </c>
      <c r="B52" s="190"/>
      <c r="C52" s="190"/>
      <c r="D52" s="191" t="s">
        <v>364</v>
      </c>
      <c r="E52" s="191"/>
      <c r="F52" s="191"/>
      <c r="G52" s="191" t="s">
        <v>365</v>
      </c>
      <c r="H52" s="191"/>
      <c r="I52" s="191"/>
    </row>
    <row r="53" spans="1:9" ht="15" customHeight="1" x14ac:dyDescent="0.35">
      <c r="A53" s="22"/>
      <c r="B53" s="22"/>
      <c r="C53" s="22"/>
      <c r="D53" s="22"/>
      <c r="E53" s="22"/>
      <c r="F53" s="22"/>
      <c r="G53" s="22"/>
      <c r="H53" s="22"/>
      <c r="I53" s="22"/>
    </row>
    <row r="54" spans="1:9" ht="15" customHeight="1" x14ac:dyDescent="0.35">
      <c r="A54" s="22"/>
      <c r="B54" s="22"/>
      <c r="C54" s="22"/>
      <c r="D54" s="22"/>
      <c r="E54" s="22"/>
      <c r="F54" s="22"/>
      <c r="G54" s="22"/>
      <c r="H54" s="22"/>
      <c r="I54" s="22"/>
    </row>
    <row r="55" spans="1:9" ht="15" customHeight="1" x14ac:dyDescent="0.35">
      <c r="A55" s="22"/>
      <c r="B55" s="22"/>
      <c r="C55" s="22"/>
      <c r="D55" s="22"/>
      <c r="E55" s="22"/>
      <c r="F55" s="22"/>
      <c r="G55" s="22"/>
      <c r="H55" s="22"/>
      <c r="I55" s="22"/>
    </row>
    <row r="56" spans="1:9" ht="15" customHeight="1" x14ac:dyDescent="0.35">
      <c r="A56" s="22"/>
      <c r="B56" s="22"/>
      <c r="C56" s="22"/>
      <c r="D56" s="22"/>
      <c r="E56" s="22"/>
      <c r="F56" s="22"/>
      <c r="G56" s="22"/>
      <c r="H56" s="22"/>
      <c r="I56" s="22"/>
    </row>
    <row r="57" spans="1:9" ht="15" customHeight="1" x14ac:dyDescent="0.35">
      <c r="A57" s="22"/>
      <c r="B57" s="22"/>
      <c r="C57" s="22"/>
      <c r="D57" s="22"/>
      <c r="E57" s="22"/>
      <c r="F57" s="22"/>
      <c r="G57" s="22"/>
      <c r="H57" s="22"/>
      <c r="I57" s="22"/>
    </row>
    <row r="58" spans="1:9" ht="15" customHeight="1" x14ac:dyDescent="0.35">
      <c r="A58" s="192" t="s">
        <v>366</v>
      </c>
      <c r="B58" s="192"/>
      <c r="C58" s="192"/>
      <c r="D58" s="192"/>
      <c r="E58" s="192"/>
      <c r="F58" s="192"/>
      <c r="G58" s="192"/>
      <c r="H58" s="192"/>
      <c r="I58" s="192"/>
    </row>
    <row r="59" spans="1:9" ht="15" customHeight="1" x14ac:dyDescent="0.35">
      <c r="A59" s="192"/>
      <c r="B59" s="192"/>
      <c r="C59" s="192"/>
      <c r="D59" s="192"/>
      <c r="E59" s="192"/>
      <c r="F59" s="192"/>
      <c r="G59" s="192"/>
      <c r="H59" s="192"/>
      <c r="I59" s="192"/>
    </row>
    <row r="60" spans="1:9" ht="15" customHeight="1" x14ac:dyDescent="0.35">
      <c r="A60" s="192"/>
      <c r="B60" s="192"/>
      <c r="C60" s="192"/>
      <c r="D60" s="192"/>
      <c r="E60" s="192"/>
      <c r="F60" s="192"/>
      <c r="G60" s="192"/>
      <c r="H60" s="192"/>
      <c r="I60" s="192"/>
    </row>
    <row r="61" spans="1:9" ht="15" customHeight="1" x14ac:dyDescent="0.35">
      <c r="A61" s="192"/>
      <c r="B61" s="192"/>
      <c r="C61" s="192"/>
      <c r="D61" s="192"/>
      <c r="E61" s="192"/>
      <c r="F61" s="192"/>
      <c r="G61" s="192"/>
      <c r="H61" s="192"/>
      <c r="I61" s="192"/>
    </row>
    <row r="62" spans="1:9" ht="15" customHeight="1" x14ac:dyDescent="0.35">
      <c r="A62" s="192"/>
      <c r="B62" s="192"/>
      <c r="C62" s="192"/>
      <c r="D62" s="192"/>
      <c r="E62" s="192"/>
      <c r="F62" s="192"/>
      <c r="G62" s="192"/>
      <c r="H62" s="192"/>
      <c r="I62" s="192"/>
    </row>
    <row r="63" spans="1:9" ht="15" customHeight="1" x14ac:dyDescent="0.35">
      <c r="A63" s="192"/>
      <c r="B63" s="192"/>
      <c r="C63" s="192"/>
      <c r="D63" s="192"/>
      <c r="E63" s="192"/>
      <c r="F63" s="192"/>
      <c r="G63" s="192"/>
      <c r="H63" s="192"/>
      <c r="I63" s="192"/>
    </row>
    <row r="64" spans="1:9" ht="15" customHeight="1" x14ac:dyDescent="0.35">
      <c r="A64" s="192"/>
      <c r="B64" s="192"/>
      <c r="C64" s="192"/>
      <c r="D64" s="192"/>
      <c r="E64" s="192"/>
      <c r="F64" s="192"/>
      <c r="G64" s="192"/>
      <c r="H64" s="192"/>
      <c r="I64" s="192"/>
    </row>
    <row r="65" spans="1:9" ht="15" customHeight="1" x14ac:dyDescent="0.35">
      <c r="A65" s="192"/>
      <c r="B65" s="192"/>
      <c r="C65" s="192"/>
      <c r="D65" s="192"/>
      <c r="E65" s="192"/>
      <c r="F65" s="192"/>
      <c r="G65" s="192"/>
      <c r="H65" s="192"/>
      <c r="I65" s="192"/>
    </row>
    <row r="66" spans="1:9" ht="15" customHeight="1" x14ac:dyDescent="0.35">
      <c r="A66" s="192"/>
      <c r="B66" s="192"/>
      <c r="C66" s="192"/>
      <c r="D66" s="192"/>
      <c r="E66" s="192"/>
      <c r="F66" s="192"/>
      <c r="G66" s="192"/>
      <c r="H66" s="192"/>
      <c r="I66" s="192"/>
    </row>
    <row r="67" spans="1:9" ht="15" customHeight="1" x14ac:dyDescent="0.35">
      <c r="A67" s="192"/>
      <c r="B67" s="192"/>
      <c r="C67" s="192"/>
      <c r="D67" s="192"/>
      <c r="E67" s="192"/>
      <c r="F67" s="192"/>
      <c r="G67" s="192"/>
      <c r="H67" s="192"/>
      <c r="I67" s="192"/>
    </row>
    <row r="68" spans="1:9" ht="15" customHeight="1" x14ac:dyDescent="0.35">
      <c r="A68" s="192"/>
      <c r="B68" s="192"/>
      <c r="C68" s="192"/>
      <c r="D68" s="192"/>
      <c r="E68" s="192"/>
      <c r="F68" s="192"/>
      <c r="G68" s="192"/>
      <c r="H68" s="192"/>
      <c r="I68" s="192"/>
    </row>
    <row r="69" spans="1:9" ht="15" customHeight="1" x14ac:dyDescent="0.35">
      <c r="A69" s="192"/>
      <c r="B69" s="192"/>
      <c r="C69" s="192"/>
      <c r="D69" s="192"/>
      <c r="E69" s="192"/>
      <c r="F69" s="192"/>
      <c r="G69" s="192"/>
      <c r="H69" s="192"/>
      <c r="I69" s="192"/>
    </row>
    <row r="70" spans="1:9" ht="15" customHeight="1" x14ac:dyDescent="0.35">
      <c r="A70" s="192"/>
      <c r="B70" s="192"/>
      <c r="C70" s="192"/>
      <c r="D70" s="192"/>
      <c r="E70" s="192"/>
      <c r="F70" s="192"/>
      <c r="G70" s="192"/>
      <c r="H70" s="192"/>
      <c r="I70" s="192"/>
    </row>
    <row r="71" spans="1:9" ht="15" customHeight="1" x14ac:dyDescent="0.35">
      <c r="A71" s="192"/>
      <c r="B71" s="192"/>
      <c r="C71" s="192"/>
      <c r="D71" s="192"/>
      <c r="E71" s="192"/>
      <c r="F71" s="192"/>
      <c r="G71" s="192"/>
      <c r="H71" s="192"/>
      <c r="I71" s="192"/>
    </row>
    <row r="72" spans="1:9" ht="15" customHeight="1" x14ac:dyDescent="0.35">
      <c r="A72" s="192"/>
      <c r="B72" s="192"/>
      <c r="C72" s="192"/>
      <c r="D72" s="192"/>
      <c r="E72" s="192"/>
      <c r="F72" s="192"/>
      <c r="G72" s="192"/>
      <c r="H72" s="192"/>
      <c r="I72" s="192"/>
    </row>
    <row r="73" spans="1:9" ht="15" customHeight="1" x14ac:dyDescent="0.35">
      <c r="A73" s="192"/>
      <c r="B73" s="192"/>
      <c r="C73" s="192"/>
      <c r="D73" s="192"/>
      <c r="E73" s="192"/>
      <c r="F73" s="192"/>
      <c r="G73" s="192"/>
      <c r="H73" s="192"/>
      <c r="I73" s="192"/>
    </row>
    <row r="74" spans="1:9" ht="15" customHeight="1" x14ac:dyDescent="0.35">
      <c r="A74" s="192"/>
      <c r="B74" s="192"/>
      <c r="C74" s="192"/>
      <c r="D74" s="192"/>
      <c r="E74" s="192"/>
      <c r="F74" s="192"/>
      <c r="G74" s="192"/>
      <c r="H74" s="192"/>
      <c r="I74" s="192"/>
    </row>
    <row r="75" spans="1:9" ht="15" customHeight="1" x14ac:dyDescent="0.35">
      <c r="A75" s="192"/>
      <c r="B75" s="192"/>
      <c r="C75" s="192"/>
      <c r="D75" s="192"/>
      <c r="E75" s="192"/>
      <c r="F75" s="192"/>
      <c r="G75" s="192"/>
      <c r="H75" s="192"/>
      <c r="I75" s="192"/>
    </row>
    <row r="76" spans="1:9" ht="15" customHeight="1" x14ac:dyDescent="0.35">
      <c r="A76" s="192"/>
      <c r="B76" s="192"/>
      <c r="C76" s="192"/>
      <c r="D76" s="192"/>
      <c r="E76" s="192"/>
      <c r="F76" s="192"/>
      <c r="G76" s="192"/>
      <c r="H76" s="192"/>
      <c r="I76" s="192"/>
    </row>
    <row r="77" spans="1:9" ht="15" customHeight="1" x14ac:dyDescent="0.35">
      <c r="A77" s="192"/>
      <c r="B77" s="192"/>
      <c r="C77" s="192"/>
      <c r="D77" s="192"/>
      <c r="E77" s="192"/>
      <c r="F77" s="192"/>
      <c r="G77" s="192"/>
      <c r="H77" s="192"/>
      <c r="I77" s="192"/>
    </row>
    <row r="78" spans="1:9" ht="15" customHeight="1" x14ac:dyDescent="0.35">
      <c r="A78" s="192"/>
      <c r="B78" s="192"/>
      <c r="C78" s="192"/>
      <c r="D78" s="192"/>
      <c r="E78" s="192"/>
      <c r="F78" s="192"/>
      <c r="G78" s="192"/>
      <c r="H78" s="192"/>
      <c r="I78" s="192"/>
    </row>
    <row r="79" spans="1:9" ht="15" customHeight="1" x14ac:dyDescent="0.35">
      <c r="A79" s="192"/>
      <c r="B79" s="192"/>
      <c r="C79" s="192"/>
      <c r="D79" s="192"/>
      <c r="E79" s="192"/>
      <c r="F79" s="192"/>
      <c r="G79" s="192"/>
      <c r="H79" s="192"/>
      <c r="I79" s="192"/>
    </row>
    <row r="80" spans="1:9" ht="15" customHeight="1" x14ac:dyDescent="0.35">
      <c r="A80" s="192"/>
      <c r="B80" s="192"/>
      <c r="C80" s="192"/>
      <c r="D80" s="192"/>
      <c r="E80" s="192"/>
      <c r="F80" s="192"/>
      <c r="G80" s="192"/>
      <c r="H80" s="192"/>
      <c r="I80" s="192"/>
    </row>
    <row r="81" spans="1:9" ht="9" customHeight="1" x14ac:dyDescent="0.35">
      <c r="A81" s="192"/>
      <c r="B81" s="192"/>
      <c r="C81" s="192"/>
      <c r="D81" s="192"/>
      <c r="E81" s="192"/>
      <c r="F81" s="192"/>
      <c r="G81" s="192"/>
      <c r="H81" s="192"/>
      <c r="I81" s="192"/>
    </row>
    <row r="82" spans="1:9" ht="6" customHeight="1" x14ac:dyDescent="0.35">
      <c r="A82" s="192"/>
      <c r="B82" s="192"/>
      <c r="C82" s="192"/>
      <c r="D82" s="192"/>
      <c r="E82" s="192"/>
      <c r="F82" s="192"/>
      <c r="G82" s="192"/>
      <c r="H82" s="192"/>
      <c r="I82" s="192"/>
    </row>
    <row r="83" spans="1:9" ht="15" customHeight="1" x14ac:dyDescent="0.35">
      <c r="A83" s="192" t="s">
        <v>367</v>
      </c>
      <c r="B83" s="192"/>
      <c r="C83" s="192"/>
      <c r="D83" s="192"/>
      <c r="E83" s="192"/>
      <c r="F83" s="192"/>
      <c r="G83" s="192"/>
      <c r="H83" s="192"/>
      <c r="I83" s="192"/>
    </row>
    <row r="84" spans="1:9" ht="15" customHeight="1" x14ac:dyDescent="0.35">
      <c r="A84" s="192"/>
      <c r="B84" s="192"/>
      <c r="C84" s="192"/>
      <c r="D84" s="192"/>
      <c r="E84" s="192"/>
      <c r="F84" s="192"/>
      <c r="G84" s="192"/>
      <c r="H84" s="192"/>
      <c r="I84" s="192"/>
    </row>
    <row r="85" spans="1:9" ht="15" customHeight="1" x14ac:dyDescent="0.35">
      <c r="A85" s="192"/>
      <c r="B85" s="192"/>
      <c r="C85" s="192"/>
      <c r="D85" s="192"/>
      <c r="E85" s="192"/>
      <c r="F85" s="192"/>
      <c r="G85" s="192"/>
      <c r="H85" s="192"/>
      <c r="I85" s="192"/>
    </row>
    <row r="86" spans="1:9" ht="15" customHeight="1" x14ac:dyDescent="0.35">
      <c r="A86" s="192"/>
      <c r="B86" s="192"/>
      <c r="C86" s="192"/>
      <c r="D86" s="192"/>
      <c r="E86" s="192"/>
      <c r="F86" s="192"/>
      <c r="G86" s="192"/>
      <c r="H86" s="192"/>
      <c r="I86" s="192"/>
    </row>
    <row r="87" spans="1:9" ht="15" customHeight="1" x14ac:dyDescent="0.35">
      <c r="A87" s="192"/>
      <c r="B87" s="192"/>
      <c r="C87" s="192"/>
      <c r="D87" s="192"/>
      <c r="E87" s="192"/>
      <c r="F87" s="192"/>
      <c r="G87" s="192"/>
      <c r="H87" s="192"/>
      <c r="I87" s="192"/>
    </row>
    <row r="88" spans="1:9" ht="15" customHeight="1" x14ac:dyDescent="0.35">
      <c r="A88" s="192"/>
      <c r="B88" s="192"/>
      <c r="C88" s="192"/>
      <c r="D88" s="192"/>
      <c r="E88" s="192"/>
      <c r="F88" s="192"/>
      <c r="G88" s="192"/>
      <c r="H88" s="192"/>
      <c r="I88" s="192"/>
    </row>
    <row r="89" spans="1:9" ht="15" customHeight="1" x14ac:dyDescent="0.35">
      <c r="A89" s="192"/>
      <c r="B89" s="192"/>
      <c r="C89" s="192"/>
      <c r="D89" s="192"/>
      <c r="E89" s="192"/>
      <c r="F89" s="192"/>
      <c r="G89" s="192"/>
      <c r="H89" s="192"/>
      <c r="I89" s="192"/>
    </row>
    <row r="90" spans="1:9" ht="15" customHeight="1" x14ac:dyDescent="0.35">
      <c r="A90" s="192"/>
      <c r="B90" s="192"/>
      <c r="C90" s="192"/>
      <c r="D90" s="192"/>
      <c r="E90" s="192"/>
      <c r="F90" s="192"/>
      <c r="G90" s="192"/>
      <c r="H90" s="192"/>
      <c r="I90" s="192"/>
    </row>
    <row r="91" spans="1:9" ht="15" customHeight="1" x14ac:dyDescent="0.35">
      <c r="A91" s="192"/>
      <c r="B91" s="192"/>
      <c r="C91" s="192"/>
      <c r="D91" s="192"/>
      <c r="E91" s="192"/>
      <c r="F91" s="192"/>
      <c r="G91" s="192"/>
      <c r="H91" s="192"/>
      <c r="I91" s="192"/>
    </row>
    <row r="92" spans="1:9" ht="15" customHeight="1" x14ac:dyDescent="0.35">
      <c r="A92" s="192"/>
      <c r="B92" s="192"/>
      <c r="C92" s="192"/>
      <c r="D92" s="192"/>
      <c r="E92" s="192"/>
      <c r="F92" s="192"/>
      <c r="G92" s="192"/>
      <c r="H92" s="192"/>
      <c r="I92" s="192"/>
    </row>
    <row r="93" spans="1:9" ht="15" customHeight="1" x14ac:dyDescent="0.35">
      <c r="A93" s="192"/>
      <c r="B93" s="192"/>
      <c r="C93" s="192"/>
      <c r="D93" s="192"/>
      <c r="E93" s="192"/>
      <c r="F93" s="192"/>
      <c r="G93" s="192"/>
      <c r="H93" s="192"/>
      <c r="I93" s="192"/>
    </row>
    <row r="94" spans="1:9" ht="15" customHeight="1" x14ac:dyDescent="0.35">
      <c r="A94" s="192"/>
      <c r="B94" s="192"/>
      <c r="C94" s="192"/>
      <c r="D94" s="192"/>
      <c r="E94" s="192"/>
      <c r="F94" s="192"/>
      <c r="G94" s="192"/>
      <c r="H94" s="192"/>
      <c r="I94" s="192"/>
    </row>
    <row r="95" spans="1:9" ht="15" customHeight="1" x14ac:dyDescent="0.35">
      <c r="A95" s="192"/>
      <c r="B95" s="192"/>
      <c r="C95" s="192"/>
      <c r="D95" s="192"/>
      <c r="E95" s="192"/>
      <c r="F95" s="192"/>
      <c r="G95" s="192"/>
      <c r="H95" s="192"/>
      <c r="I95" s="192"/>
    </row>
    <row r="96" spans="1:9" ht="15" customHeight="1" x14ac:dyDescent="0.35">
      <c r="A96" s="192"/>
      <c r="B96" s="192"/>
      <c r="C96" s="192"/>
      <c r="D96" s="192"/>
      <c r="E96" s="192"/>
      <c r="F96" s="192"/>
      <c r="G96" s="192"/>
      <c r="H96" s="192"/>
      <c r="I96" s="192"/>
    </row>
    <row r="97" spans="1:9" ht="15" customHeight="1" x14ac:dyDescent="0.35">
      <c r="A97" s="192"/>
      <c r="B97" s="192"/>
      <c r="C97" s="192"/>
      <c r="D97" s="192"/>
      <c r="E97" s="192"/>
      <c r="F97" s="192"/>
      <c r="G97" s="192"/>
      <c r="H97" s="192"/>
      <c r="I97" s="192"/>
    </row>
    <row r="98" spans="1:9" ht="15" customHeight="1" x14ac:dyDescent="0.35">
      <c r="A98" s="192"/>
      <c r="B98" s="192"/>
      <c r="C98" s="192"/>
      <c r="D98" s="192"/>
      <c r="E98" s="192"/>
      <c r="F98" s="192"/>
      <c r="G98" s="192"/>
      <c r="H98" s="192"/>
      <c r="I98" s="192"/>
    </row>
    <row r="99" spans="1:9" ht="15" customHeight="1" x14ac:dyDescent="0.35">
      <c r="A99" s="192"/>
      <c r="B99" s="192"/>
      <c r="C99" s="192"/>
      <c r="D99" s="192"/>
      <c r="E99" s="192"/>
      <c r="F99" s="192"/>
      <c r="G99" s="192"/>
      <c r="H99" s="192"/>
      <c r="I99" s="192"/>
    </row>
    <row r="100" spans="1:9" ht="15" customHeight="1" x14ac:dyDescent="0.35">
      <c r="A100" s="192"/>
      <c r="B100" s="192"/>
      <c r="C100" s="192"/>
      <c r="D100" s="192"/>
      <c r="E100" s="192"/>
      <c r="F100" s="192"/>
      <c r="G100" s="192"/>
      <c r="H100" s="192"/>
      <c r="I100" s="192"/>
    </row>
    <row r="101" spans="1:9" ht="15" customHeight="1" x14ac:dyDescent="0.35">
      <c r="A101" s="192"/>
      <c r="B101" s="192"/>
      <c r="C101" s="192"/>
      <c r="D101" s="192"/>
      <c r="E101" s="192"/>
      <c r="F101" s="192"/>
      <c r="G101" s="192"/>
      <c r="H101" s="192"/>
      <c r="I101" s="192"/>
    </row>
    <row r="102" spans="1:9" ht="15" customHeight="1" x14ac:dyDescent="0.35">
      <c r="A102" s="192"/>
      <c r="B102" s="192"/>
      <c r="C102" s="192"/>
      <c r="D102" s="192"/>
      <c r="E102" s="192"/>
      <c r="F102" s="192"/>
      <c r="G102" s="192"/>
      <c r="H102" s="192"/>
      <c r="I102" s="192"/>
    </row>
    <row r="103" spans="1:9" ht="15" customHeight="1" x14ac:dyDescent="0.35">
      <c r="A103" s="192"/>
      <c r="B103" s="192"/>
      <c r="C103" s="192"/>
      <c r="D103" s="192"/>
      <c r="E103" s="192"/>
      <c r="F103" s="192"/>
      <c r="G103" s="192"/>
      <c r="H103" s="192"/>
      <c r="I103" s="192"/>
    </row>
    <row r="104" spans="1:9" ht="15" customHeight="1" x14ac:dyDescent="0.35">
      <c r="A104" s="192"/>
      <c r="B104" s="192"/>
      <c r="C104" s="192"/>
      <c r="D104" s="192"/>
      <c r="E104" s="192"/>
      <c r="F104" s="192"/>
      <c r="G104" s="192"/>
      <c r="H104" s="192"/>
      <c r="I104" s="192"/>
    </row>
    <row r="105" spans="1:9" ht="15" customHeight="1" x14ac:dyDescent="0.35">
      <c r="A105" s="192"/>
      <c r="B105" s="192"/>
      <c r="C105" s="192"/>
      <c r="D105" s="192"/>
      <c r="E105" s="192"/>
      <c r="F105" s="192"/>
      <c r="G105" s="192"/>
      <c r="H105" s="192"/>
      <c r="I105" s="192"/>
    </row>
    <row r="106" spans="1:9" x14ac:dyDescent="0.35">
      <c r="A106" s="192"/>
      <c r="B106" s="192"/>
      <c r="C106" s="192"/>
      <c r="D106" s="192"/>
      <c r="E106" s="192"/>
      <c r="F106" s="192"/>
      <c r="G106" s="192"/>
      <c r="H106" s="192"/>
      <c r="I106" s="192"/>
    </row>
    <row r="107" spans="1:9" x14ac:dyDescent="0.35">
      <c r="A107" s="193" t="s">
        <v>368</v>
      </c>
      <c r="B107" s="194"/>
      <c r="C107" s="194"/>
      <c r="D107" s="194"/>
      <c r="E107" s="194"/>
      <c r="F107" s="194"/>
      <c r="G107" s="194"/>
      <c r="H107" s="194"/>
      <c r="I107" s="194"/>
    </row>
    <row r="108" spans="1:9" x14ac:dyDescent="0.35">
      <c r="A108" s="194"/>
      <c r="B108" s="194"/>
      <c r="C108" s="194"/>
      <c r="D108" s="194"/>
      <c r="E108" s="194"/>
      <c r="F108" s="194"/>
      <c r="G108" s="194"/>
      <c r="H108" s="194"/>
      <c r="I108" s="194"/>
    </row>
    <row r="109" spans="1:9" x14ac:dyDescent="0.35">
      <c r="A109" s="194"/>
      <c r="B109" s="194"/>
      <c r="C109" s="194"/>
      <c r="D109" s="194"/>
      <c r="E109" s="194"/>
      <c r="F109" s="194"/>
      <c r="G109" s="194"/>
      <c r="H109" s="194"/>
      <c r="I109" s="194"/>
    </row>
    <row r="110" spans="1:9" x14ac:dyDescent="0.35">
      <c r="A110" s="194"/>
      <c r="B110" s="194"/>
      <c r="C110" s="194"/>
      <c r="D110" s="194"/>
      <c r="E110" s="194"/>
      <c r="F110" s="194"/>
      <c r="G110" s="194"/>
      <c r="H110" s="194"/>
      <c r="I110" s="194"/>
    </row>
    <row r="111" spans="1:9" x14ac:dyDescent="0.35">
      <c r="A111" s="194"/>
      <c r="B111" s="194"/>
      <c r="C111" s="194"/>
      <c r="D111" s="194"/>
      <c r="E111" s="194"/>
      <c r="F111" s="194"/>
      <c r="G111" s="194"/>
      <c r="H111" s="194"/>
      <c r="I111" s="194"/>
    </row>
    <row r="112" spans="1:9" x14ac:dyDescent="0.35">
      <c r="A112" s="194"/>
      <c r="B112" s="194"/>
      <c r="C112" s="194"/>
      <c r="D112" s="194"/>
      <c r="E112" s="194"/>
      <c r="F112" s="194"/>
      <c r="G112" s="194"/>
      <c r="H112" s="194"/>
      <c r="I112" s="194"/>
    </row>
    <row r="113" spans="1:9" x14ac:dyDescent="0.35">
      <c r="A113" s="194"/>
      <c r="B113" s="194"/>
      <c r="C113" s="194"/>
      <c r="D113" s="194"/>
      <c r="E113" s="194"/>
      <c r="F113" s="194"/>
      <c r="G113" s="194"/>
      <c r="H113" s="194"/>
      <c r="I113" s="194"/>
    </row>
    <row r="114" spans="1:9" x14ac:dyDescent="0.35">
      <c r="A114" s="194"/>
      <c r="B114" s="194"/>
      <c r="C114" s="194"/>
      <c r="D114" s="194"/>
      <c r="E114" s="194"/>
      <c r="F114" s="194"/>
      <c r="G114" s="194"/>
      <c r="H114" s="194"/>
      <c r="I114" s="194"/>
    </row>
    <row r="115" spans="1:9" x14ac:dyDescent="0.35">
      <c r="A115" s="194"/>
      <c r="B115" s="194"/>
      <c r="C115" s="194"/>
      <c r="D115" s="194"/>
      <c r="E115" s="194"/>
      <c r="F115" s="194"/>
      <c r="G115" s="194"/>
      <c r="H115" s="194"/>
      <c r="I115" s="194"/>
    </row>
    <row r="116" spans="1:9" x14ac:dyDescent="0.35">
      <c r="A116" s="194"/>
      <c r="B116" s="194"/>
      <c r="C116" s="194"/>
      <c r="D116" s="194"/>
      <c r="E116" s="194"/>
      <c r="F116" s="194"/>
      <c r="G116" s="194"/>
      <c r="H116" s="194"/>
      <c r="I116" s="194"/>
    </row>
    <row r="117" spans="1:9" x14ac:dyDescent="0.35">
      <c r="A117" s="194"/>
      <c r="B117" s="194"/>
      <c r="C117" s="194"/>
      <c r="D117" s="194"/>
      <c r="E117" s="194"/>
      <c r="F117" s="194"/>
      <c r="G117" s="194"/>
      <c r="H117" s="194"/>
      <c r="I117" s="194"/>
    </row>
    <row r="118" spans="1:9" x14ac:dyDescent="0.35">
      <c r="A118" s="194"/>
      <c r="B118" s="194"/>
      <c r="C118" s="194"/>
      <c r="D118" s="194"/>
      <c r="E118" s="194"/>
      <c r="F118" s="194"/>
      <c r="G118" s="194"/>
      <c r="H118" s="194"/>
      <c r="I118" s="194"/>
    </row>
    <row r="119" spans="1:9" x14ac:dyDescent="0.35">
      <c r="A119" s="194"/>
      <c r="B119" s="194"/>
      <c r="C119" s="194"/>
      <c r="D119" s="194"/>
      <c r="E119" s="194"/>
      <c r="F119" s="194"/>
      <c r="G119" s="194"/>
      <c r="H119" s="194"/>
      <c r="I119" s="194"/>
    </row>
    <row r="120" spans="1:9" x14ac:dyDescent="0.35">
      <c r="A120" s="194"/>
      <c r="B120" s="194"/>
      <c r="C120" s="194"/>
      <c r="D120" s="194"/>
      <c r="E120" s="194"/>
      <c r="F120" s="194"/>
      <c r="G120" s="194"/>
      <c r="H120" s="194"/>
      <c r="I120" s="194"/>
    </row>
    <row r="121" spans="1:9" x14ac:dyDescent="0.35">
      <c r="A121" s="194"/>
      <c r="B121" s="194"/>
      <c r="C121" s="194"/>
      <c r="D121" s="194"/>
      <c r="E121" s="194"/>
      <c r="F121" s="194"/>
      <c r="G121" s="194"/>
      <c r="H121" s="194"/>
      <c r="I121" s="194"/>
    </row>
    <row r="122" spans="1:9" x14ac:dyDescent="0.35">
      <c r="A122" s="194"/>
      <c r="B122" s="194"/>
      <c r="C122" s="194"/>
      <c r="D122" s="194"/>
      <c r="E122" s="194"/>
      <c r="F122" s="194"/>
      <c r="G122" s="194"/>
      <c r="H122" s="194"/>
      <c r="I122" s="194"/>
    </row>
    <row r="123" spans="1:9" x14ac:dyDescent="0.35">
      <c r="A123" s="194"/>
      <c r="B123" s="194"/>
      <c r="C123" s="194"/>
      <c r="D123" s="194"/>
      <c r="E123" s="194"/>
      <c r="F123" s="194"/>
      <c r="G123" s="194"/>
      <c r="H123" s="194"/>
      <c r="I123" s="194"/>
    </row>
    <row r="124" spans="1:9" x14ac:dyDescent="0.35">
      <c r="A124" s="194"/>
      <c r="B124" s="194"/>
      <c r="C124" s="194"/>
      <c r="D124" s="194"/>
      <c r="E124" s="194"/>
      <c r="F124" s="194"/>
      <c r="G124" s="194"/>
      <c r="H124" s="194"/>
      <c r="I124" s="194"/>
    </row>
    <row r="125" spans="1:9" x14ac:dyDescent="0.35">
      <c r="A125" s="194"/>
      <c r="B125" s="194"/>
      <c r="C125" s="194"/>
      <c r="D125" s="194"/>
      <c r="E125" s="194"/>
      <c r="F125" s="194"/>
      <c r="G125" s="194"/>
      <c r="H125" s="194"/>
      <c r="I125" s="194"/>
    </row>
    <row r="126" spans="1:9" x14ac:dyDescent="0.35">
      <c r="A126" s="194"/>
      <c r="B126" s="194"/>
      <c r="C126" s="194"/>
      <c r="D126" s="194"/>
      <c r="E126" s="194"/>
      <c r="F126" s="194"/>
      <c r="G126" s="194"/>
      <c r="H126" s="194"/>
      <c r="I126" s="194"/>
    </row>
    <row r="127" spans="1:9" x14ac:dyDescent="0.35">
      <c r="A127" s="194"/>
      <c r="B127" s="194"/>
      <c r="C127" s="194"/>
      <c r="D127" s="194"/>
      <c r="E127" s="194"/>
      <c r="F127" s="194"/>
      <c r="G127" s="194"/>
      <c r="H127" s="194"/>
      <c r="I127" s="194"/>
    </row>
    <row r="128" spans="1:9" x14ac:dyDescent="0.35">
      <c r="A128" s="194"/>
      <c r="B128" s="194"/>
      <c r="C128" s="194"/>
      <c r="D128" s="194"/>
      <c r="E128" s="194"/>
      <c r="F128" s="194"/>
      <c r="G128" s="194"/>
      <c r="H128" s="194"/>
      <c r="I128" s="194"/>
    </row>
    <row r="129" spans="1:9" x14ac:dyDescent="0.35">
      <c r="A129" s="194"/>
      <c r="B129" s="194"/>
      <c r="C129" s="194"/>
      <c r="D129" s="194"/>
      <c r="E129" s="194"/>
      <c r="F129" s="194"/>
      <c r="G129" s="194"/>
      <c r="H129" s="194"/>
      <c r="I129" s="194"/>
    </row>
    <row r="130" spans="1:9" x14ac:dyDescent="0.35">
      <c r="A130" s="194"/>
      <c r="B130" s="194"/>
      <c r="C130" s="194"/>
      <c r="D130" s="194"/>
      <c r="E130" s="194"/>
      <c r="F130" s="194"/>
      <c r="G130" s="194"/>
      <c r="H130" s="194"/>
      <c r="I130" s="194"/>
    </row>
    <row r="131" spans="1:9" x14ac:dyDescent="0.35">
      <c r="A131" s="194"/>
      <c r="B131" s="194"/>
      <c r="C131" s="194"/>
      <c r="D131" s="194"/>
      <c r="E131" s="194"/>
      <c r="F131" s="194"/>
      <c r="G131" s="194"/>
      <c r="H131" s="194"/>
      <c r="I131" s="194"/>
    </row>
    <row r="132" spans="1:9" x14ac:dyDescent="0.35">
      <c r="A132" s="194"/>
      <c r="B132" s="194"/>
      <c r="C132" s="194"/>
      <c r="D132" s="194"/>
      <c r="E132" s="194"/>
      <c r="F132" s="194"/>
      <c r="G132" s="194"/>
      <c r="H132" s="194"/>
      <c r="I132" s="194"/>
    </row>
    <row r="133" spans="1:9" x14ac:dyDescent="0.35">
      <c r="A133" s="194"/>
      <c r="B133" s="194"/>
      <c r="C133" s="194"/>
      <c r="D133" s="194"/>
      <c r="E133" s="194"/>
      <c r="F133" s="194"/>
      <c r="G133" s="194"/>
      <c r="H133" s="194"/>
      <c r="I133" s="194"/>
    </row>
    <row r="134" spans="1:9" x14ac:dyDescent="0.35">
      <c r="A134" s="194"/>
      <c r="B134" s="194"/>
      <c r="C134" s="194"/>
      <c r="D134" s="194"/>
      <c r="E134" s="194"/>
      <c r="F134" s="194"/>
      <c r="G134" s="194"/>
      <c r="H134" s="194"/>
      <c r="I134" s="194"/>
    </row>
    <row r="135" spans="1:9" x14ac:dyDescent="0.35">
      <c r="A135" s="194"/>
      <c r="B135" s="194"/>
      <c r="C135" s="194"/>
      <c r="D135" s="194"/>
      <c r="E135" s="194"/>
      <c r="F135" s="194"/>
      <c r="G135" s="194"/>
      <c r="H135" s="194"/>
      <c r="I135" s="194"/>
    </row>
    <row r="136" spans="1:9" x14ac:dyDescent="0.35">
      <c r="A136" s="194"/>
      <c r="B136" s="194"/>
      <c r="C136" s="194"/>
      <c r="D136" s="194"/>
      <c r="E136" s="194"/>
      <c r="F136" s="194"/>
      <c r="G136" s="194"/>
      <c r="H136" s="194"/>
      <c r="I136" s="194"/>
    </row>
    <row r="137" spans="1:9" x14ac:dyDescent="0.35">
      <c r="A137" s="194"/>
      <c r="B137" s="194"/>
      <c r="C137" s="194"/>
      <c r="D137" s="194"/>
      <c r="E137" s="194"/>
      <c r="F137" s="194"/>
      <c r="G137" s="194"/>
      <c r="H137" s="194"/>
      <c r="I137" s="194"/>
    </row>
    <row r="138" spans="1:9" x14ac:dyDescent="0.35">
      <c r="A138" s="194"/>
      <c r="B138" s="194"/>
      <c r="C138" s="194"/>
      <c r="D138" s="194"/>
      <c r="E138" s="194"/>
      <c r="F138" s="194"/>
      <c r="G138" s="194"/>
      <c r="H138" s="194"/>
      <c r="I138" s="194"/>
    </row>
    <row r="139" spans="1:9" x14ac:dyDescent="0.35">
      <c r="A139" s="194"/>
      <c r="B139" s="194"/>
      <c r="C139" s="194"/>
      <c r="D139" s="194"/>
      <c r="E139" s="194"/>
      <c r="F139" s="194"/>
      <c r="G139" s="194"/>
      <c r="H139" s="194"/>
      <c r="I139" s="194"/>
    </row>
    <row r="140" spans="1:9" x14ac:dyDescent="0.35">
      <c r="A140" s="194"/>
      <c r="B140" s="194"/>
      <c r="C140" s="194"/>
      <c r="D140" s="194"/>
      <c r="E140" s="194"/>
      <c r="F140" s="194"/>
      <c r="G140" s="194"/>
      <c r="H140" s="194"/>
      <c r="I140" s="194"/>
    </row>
    <row r="141" spans="1:9" x14ac:dyDescent="0.35">
      <c r="A141" s="194"/>
      <c r="B141" s="194"/>
      <c r="C141" s="194"/>
      <c r="D141" s="194"/>
      <c r="E141" s="194"/>
      <c r="F141" s="194"/>
      <c r="G141" s="194"/>
      <c r="H141" s="194"/>
      <c r="I141" s="194"/>
    </row>
    <row r="142" spans="1:9" x14ac:dyDescent="0.35">
      <c r="A142" s="194"/>
      <c r="B142" s="194"/>
      <c r="C142" s="194"/>
      <c r="D142" s="194"/>
      <c r="E142" s="194"/>
      <c r="F142" s="194"/>
      <c r="G142" s="194"/>
      <c r="H142" s="194"/>
      <c r="I142" s="194"/>
    </row>
    <row r="143" spans="1:9" x14ac:dyDescent="0.35">
      <c r="A143" s="194"/>
      <c r="B143" s="194"/>
      <c r="C143" s="194"/>
      <c r="D143" s="194"/>
      <c r="E143" s="194"/>
      <c r="F143" s="194"/>
      <c r="G143" s="194"/>
      <c r="H143" s="194"/>
      <c r="I143" s="194"/>
    </row>
    <row r="144" spans="1:9" x14ac:dyDescent="0.35">
      <c r="A144" s="194"/>
      <c r="B144" s="194"/>
      <c r="C144" s="194"/>
      <c r="D144" s="194"/>
      <c r="E144" s="194"/>
      <c r="F144" s="194"/>
      <c r="G144" s="194"/>
      <c r="H144" s="194"/>
      <c r="I144" s="194"/>
    </row>
    <row r="145" spans="1:9" x14ac:dyDescent="0.35">
      <c r="A145" s="194"/>
      <c r="B145" s="194"/>
      <c r="C145" s="194"/>
      <c r="D145" s="194"/>
      <c r="E145" s="194"/>
      <c r="F145" s="194"/>
      <c r="G145" s="194"/>
      <c r="H145" s="194"/>
      <c r="I145" s="194"/>
    </row>
    <row r="146" spans="1:9" x14ac:dyDescent="0.35">
      <c r="A146" s="194"/>
      <c r="B146" s="194"/>
      <c r="C146" s="194"/>
      <c r="D146" s="194"/>
      <c r="E146" s="194"/>
      <c r="F146" s="194"/>
      <c r="G146" s="194"/>
      <c r="H146" s="194"/>
      <c r="I146" s="194"/>
    </row>
    <row r="147" spans="1:9" x14ac:dyDescent="0.35">
      <c r="A147" s="194"/>
      <c r="B147" s="194"/>
      <c r="C147" s="194"/>
      <c r="D147" s="194"/>
      <c r="E147" s="194"/>
      <c r="F147" s="194"/>
      <c r="G147" s="194"/>
      <c r="H147" s="194"/>
      <c r="I147" s="194"/>
    </row>
    <row r="148" spans="1:9" x14ac:dyDescent="0.35">
      <c r="A148" s="194"/>
      <c r="B148" s="194"/>
      <c r="C148" s="194"/>
      <c r="D148" s="194"/>
      <c r="E148" s="194"/>
      <c r="F148" s="194"/>
      <c r="G148" s="194"/>
      <c r="H148" s="194"/>
      <c r="I148" s="194"/>
    </row>
    <row r="149" spans="1:9" x14ac:dyDescent="0.35">
      <c r="A149" s="194"/>
      <c r="B149" s="194"/>
      <c r="C149" s="194"/>
      <c r="D149" s="194"/>
      <c r="E149" s="194"/>
      <c r="F149" s="194"/>
      <c r="G149" s="194"/>
      <c r="H149" s="194"/>
      <c r="I149" s="194"/>
    </row>
    <row r="150" spans="1:9" x14ac:dyDescent="0.35">
      <c r="A150" s="194"/>
      <c r="B150" s="194"/>
      <c r="C150" s="194"/>
      <c r="D150" s="194"/>
      <c r="E150" s="194"/>
      <c r="F150" s="194"/>
      <c r="G150" s="194"/>
      <c r="H150" s="194"/>
      <c r="I150" s="194"/>
    </row>
    <row r="151" spans="1:9" x14ac:dyDescent="0.35">
      <c r="A151" s="194"/>
      <c r="B151" s="194"/>
      <c r="C151" s="194"/>
      <c r="D151" s="194"/>
      <c r="E151" s="194"/>
      <c r="F151" s="194"/>
      <c r="G151" s="194"/>
      <c r="H151" s="194"/>
      <c r="I151" s="194"/>
    </row>
    <row r="152" spans="1:9" x14ac:dyDescent="0.35">
      <c r="A152" s="194"/>
      <c r="B152" s="194"/>
      <c r="C152" s="194"/>
      <c r="D152" s="194"/>
      <c r="E152" s="194"/>
      <c r="F152" s="194"/>
      <c r="G152" s="194"/>
      <c r="H152" s="194"/>
      <c r="I152" s="194"/>
    </row>
    <row r="153" spans="1:9" x14ac:dyDescent="0.35">
      <c r="A153" s="194"/>
      <c r="B153" s="194"/>
      <c r="C153" s="194"/>
      <c r="D153" s="194"/>
      <c r="E153" s="194"/>
      <c r="F153" s="194"/>
      <c r="G153" s="194"/>
      <c r="H153" s="194"/>
      <c r="I153" s="194"/>
    </row>
    <row r="154" spans="1:9" x14ac:dyDescent="0.35">
      <c r="A154" s="194"/>
      <c r="B154" s="194"/>
      <c r="C154" s="194"/>
      <c r="D154" s="194"/>
      <c r="E154" s="194"/>
      <c r="F154" s="194"/>
      <c r="G154" s="194"/>
      <c r="H154" s="194"/>
      <c r="I154" s="194"/>
    </row>
    <row r="155" spans="1:9" x14ac:dyDescent="0.35">
      <c r="A155" s="187" t="s">
        <v>369</v>
      </c>
      <c r="B155" s="187"/>
      <c r="C155" s="187"/>
      <c r="D155" s="187"/>
      <c r="E155" s="187"/>
      <c r="F155" s="187"/>
      <c r="G155" s="187"/>
      <c r="H155" s="187"/>
      <c r="I155" s="187"/>
    </row>
    <row r="156" spans="1:9" ht="21" customHeight="1" x14ac:dyDescent="0.35">
      <c r="A156" s="187"/>
      <c r="B156" s="187"/>
      <c r="C156" s="187"/>
      <c r="D156" s="187"/>
      <c r="E156" s="187"/>
      <c r="F156" s="187"/>
      <c r="G156" s="187"/>
      <c r="H156" s="187"/>
      <c r="I156" s="187"/>
    </row>
    <row r="157" spans="1:9" ht="15" customHeight="1" x14ac:dyDescent="0.35">
      <c r="A157" s="189" t="s">
        <v>370</v>
      </c>
      <c r="B157" s="189"/>
      <c r="C157" s="189"/>
      <c r="D157" s="189"/>
      <c r="E157" s="189"/>
      <c r="F157" s="189"/>
      <c r="G157" s="189"/>
      <c r="H157" s="189"/>
      <c r="I157" s="189"/>
    </row>
    <row r="158" spans="1:9" x14ac:dyDescent="0.35">
      <c r="A158" s="189"/>
      <c r="B158" s="189"/>
      <c r="C158" s="189"/>
      <c r="D158" s="189"/>
      <c r="E158" s="189"/>
      <c r="F158" s="189"/>
      <c r="G158" s="189"/>
      <c r="H158" s="189"/>
      <c r="I158" s="189"/>
    </row>
    <row r="159" spans="1:9" x14ac:dyDescent="0.35">
      <c r="A159" s="189"/>
      <c r="B159" s="189"/>
      <c r="C159" s="189"/>
      <c r="D159" s="189"/>
      <c r="E159" s="189"/>
      <c r="F159" s="189"/>
      <c r="G159" s="189"/>
      <c r="H159" s="189"/>
      <c r="I159" s="189"/>
    </row>
    <row r="160" spans="1:9" x14ac:dyDescent="0.35">
      <c r="A160" s="189"/>
      <c r="B160" s="189"/>
      <c r="C160" s="189"/>
      <c r="D160" s="189"/>
      <c r="E160" s="189"/>
      <c r="F160" s="189"/>
      <c r="G160" s="189"/>
      <c r="H160" s="189"/>
      <c r="I160" s="189"/>
    </row>
    <row r="161" spans="1:9" x14ac:dyDescent="0.35">
      <c r="A161" s="189"/>
      <c r="B161" s="189"/>
      <c r="C161" s="189"/>
      <c r="D161" s="189"/>
      <c r="E161" s="189"/>
      <c r="F161" s="189"/>
      <c r="G161" s="189"/>
      <c r="H161" s="189"/>
      <c r="I161" s="189"/>
    </row>
    <row r="162" spans="1:9" x14ac:dyDescent="0.35">
      <c r="A162" s="189"/>
      <c r="B162" s="189"/>
      <c r="C162" s="189"/>
      <c r="D162" s="189"/>
      <c r="E162" s="189"/>
      <c r="F162" s="189"/>
      <c r="G162" s="189"/>
      <c r="H162" s="189"/>
      <c r="I162" s="189"/>
    </row>
    <row r="163" spans="1:9" x14ac:dyDescent="0.35">
      <c r="A163" s="189"/>
      <c r="B163" s="189"/>
      <c r="C163" s="189"/>
      <c r="D163" s="189"/>
      <c r="E163" s="189"/>
      <c r="F163" s="189"/>
      <c r="G163" s="189"/>
      <c r="H163" s="189"/>
      <c r="I163" s="189"/>
    </row>
    <row r="164" spans="1:9" x14ac:dyDescent="0.35">
      <c r="A164" s="189"/>
      <c r="B164" s="189"/>
      <c r="C164" s="189"/>
      <c r="D164" s="189"/>
      <c r="E164" s="189"/>
      <c r="F164" s="189"/>
      <c r="G164" s="189"/>
      <c r="H164" s="189"/>
      <c r="I164" s="189"/>
    </row>
    <row r="165" spans="1:9" x14ac:dyDescent="0.35">
      <c r="A165" s="189"/>
      <c r="B165" s="189"/>
      <c r="C165" s="189"/>
      <c r="D165" s="189"/>
      <c r="E165" s="189"/>
      <c r="F165" s="189"/>
      <c r="G165" s="189"/>
      <c r="H165" s="189"/>
      <c r="I165" s="189"/>
    </row>
    <row r="166" spans="1:9" x14ac:dyDescent="0.35">
      <c r="A166" s="189"/>
      <c r="B166" s="189"/>
      <c r="C166" s="189"/>
      <c r="D166" s="189"/>
      <c r="E166" s="189"/>
      <c r="F166" s="189"/>
      <c r="G166" s="189"/>
      <c r="H166" s="189"/>
      <c r="I166" s="189"/>
    </row>
    <row r="167" spans="1:9" x14ac:dyDescent="0.35">
      <c r="A167" s="189"/>
      <c r="B167" s="189"/>
      <c r="C167" s="189"/>
      <c r="D167" s="189"/>
      <c r="E167" s="189"/>
      <c r="F167" s="189"/>
      <c r="G167" s="189"/>
      <c r="H167" s="189"/>
      <c r="I167" s="189"/>
    </row>
    <row r="168" spans="1:9" x14ac:dyDescent="0.35">
      <c r="A168" s="189"/>
      <c r="B168" s="189"/>
      <c r="C168" s="189"/>
      <c r="D168" s="189"/>
      <c r="E168" s="189"/>
      <c r="F168" s="189"/>
      <c r="G168" s="189"/>
      <c r="H168" s="189"/>
      <c r="I168" s="189"/>
    </row>
    <row r="169" spans="1:9" x14ac:dyDescent="0.35">
      <c r="A169" s="189"/>
      <c r="B169" s="189"/>
      <c r="C169" s="189"/>
      <c r="D169" s="189"/>
      <c r="E169" s="189"/>
      <c r="F169" s="189"/>
      <c r="G169" s="189"/>
      <c r="H169" s="189"/>
      <c r="I169" s="189"/>
    </row>
    <row r="170" spans="1:9" x14ac:dyDescent="0.35">
      <c r="A170" s="189"/>
      <c r="B170" s="189"/>
      <c r="C170" s="189"/>
      <c r="D170" s="189"/>
      <c r="E170" s="189"/>
      <c r="F170" s="189"/>
      <c r="G170" s="189"/>
      <c r="H170" s="189"/>
      <c r="I170" s="189"/>
    </row>
    <row r="171" spans="1:9" x14ac:dyDescent="0.35">
      <c r="A171" s="189"/>
      <c r="B171" s="189"/>
      <c r="C171" s="189"/>
      <c r="D171" s="189"/>
      <c r="E171" s="189"/>
      <c r="F171" s="189"/>
      <c r="G171" s="189"/>
      <c r="H171" s="189"/>
      <c r="I171" s="189"/>
    </row>
    <row r="172" spans="1:9" x14ac:dyDescent="0.35">
      <c r="A172" s="189"/>
      <c r="B172" s="189"/>
      <c r="C172" s="189"/>
      <c r="D172" s="189"/>
      <c r="E172" s="189"/>
      <c r="F172" s="189"/>
      <c r="G172" s="189"/>
      <c r="H172" s="189"/>
      <c r="I172" s="189"/>
    </row>
    <row r="173" spans="1:9" x14ac:dyDescent="0.35">
      <c r="A173" s="189"/>
      <c r="B173" s="189"/>
      <c r="C173" s="189"/>
      <c r="D173" s="189"/>
      <c r="E173" s="189"/>
      <c r="F173" s="189"/>
      <c r="G173" s="189"/>
      <c r="H173" s="189"/>
      <c r="I173" s="189"/>
    </row>
    <row r="174" spans="1:9" x14ac:dyDescent="0.35">
      <c r="A174" s="189"/>
      <c r="B174" s="189"/>
      <c r="C174" s="189"/>
      <c r="D174" s="189"/>
      <c r="E174" s="189"/>
      <c r="F174" s="189"/>
      <c r="G174" s="189"/>
      <c r="H174" s="189"/>
      <c r="I174" s="189"/>
    </row>
    <row r="175" spans="1:9" x14ac:dyDescent="0.35">
      <c r="A175" s="189"/>
      <c r="B175" s="189"/>
      <c r="C175" s="189"/>
      <c r="D175" s="189"/>
      <c r="E175" s="189"/>
      <c r="F175" s="189"/>
      <c r="G175" s="189"/>
      <c r="H175" s="189"/>
      <c r="I175" s="189"/>
    </row>
    <row r="176" spans="1:9" x14ac:dyDescent="0.35">
      <c r="A176" s="189"/>
      <c r="B176" s="189"/>
      <c r="C176" s="189"/>
      <c r="D176" s="189"/>
      <c r="E176" s="189"/>
      <c r="F176" s="189"/>
      <c r="G176" s="189"/>
      <c r="H176" s="189"/>
      <c r="I176" s="189"/>
    </row>
    <row r="177" spans="1:9" x14ac:dyDescent="0.35">
      <c r="A177" s="189"/>
      <c r="B177" s="189"/>
      <c r="C177" s="189"/>
      <c r="D177" s="189"/>
      <c r="E177" s="189"/>
      <c r="F177" s="189"/>
      <c r="G177" s="189"/>
      <c r="H177" s="189"/>
      <c r="I177" s="189"/>
    </row>
    <row r="178" spans="1:9" x14ac:dyDescent="0.35">
      <c r="A178" s="189"/>
      <c r="B178" s="189"/>
      <c r="C178" s="189"/>
      <c r="D178" s="189"/>
      <c r="E178" s="189"/>
      <c r="F178" s="189"/>
      <c r="G178" s="189"/>
      <c r="H178" s="189"/>
      <c r="I178" s="189"/>
    </row>
    <row r="179" spans="1:9" x14ac:dyDescent="0.35">
      <c r="A179" s="189"/>
      <c r="B179" s="189"/>
      <c r="C179" s="189"/>
      <c r="D179" s="189"/>
      <c r="E179" s="189"/>
      <c r="F179" s="189"/>
      <c r="G179" s="189"/>
      <c r="H179" s="189"/>
      <c r="I179" s="189"/>
    </row>
    <row r="180" spans="1:9" x14ac:dyDescent="0.35">
      <c r="A180" s="189"/>
      <c r="B180" s="189"/>
      <c r="C180" s="189"/>
      <c r="D180" s="189"/>
      <c r="E180" s="189"/>
      <c r="F180" s="189"/>
      <c r="G180" s="189"/>
      <c r="H180" s="189"/>
      <c r="I180" s="189"/>
    </row>
    <row r="181" spans="1:9" x14ac:dyDescent="0.35">
      <c r="A181" s="189"/>
      <c r="B181" s="189"/>
      <c r="C181" s="189"/>
      <c r="D181" s="189"/>
      <c r="E181" s="189"/>
      <c r="F181" s="189"/>
      <c r="G181" s="189"/>
      <c r="H181" s="189"/>
      <c r="I181" s="189"/>
    </row>
    <row r="182" spans="1:9" x14ac:dyDescent="0.35">
      <c r="A182" s="189"/>
      <c r="B182" s="189"/>
      <c r="C182" s="189"/>
      <c r="D182" s="189"/>
      <c r="E182" s="189"/>
      <c r="F182" s="189"/>
      <c r="G182" s="189"/>
      <c r="H182" s="189"/>
      <c r="I182" s="189"/>
    </row>
    <row r="183" spans="1:9" x14ac:dyDescent="0.35">
      <c r="A183" s="189"/>
      <c r="B183" s="189"/>
      <c r="C183" s="189"/>
      <c r="D183" s="189"/>
      <c r="E183" s="189"/>
      <c r="F183" s="189"/>
      <c r="G183" s="189"/>
      <c r="H183" s="189"/>
      <c r="I183" s="189"/>
    </row>
    <row r="184" spans="1:9" x14ac:dyDescent="0.35">
      <c r="A184" s="189"/>
      <c r="B184" s="189"/>
      <c r="C184" s="189"/>
      <c r="D184" s="189"/>
      <c r="E184" s="189"/>
      <c r="F184" s="189"/>
      <c r="G184" s="189"/>
      <c r="H184" s="189"/>
      <c r="I184" s="189"/>
    </row>
    <row r="185" spans="1:9" x14ac:dyDescent="0.35">
      <c r="A185" s="189"/>
      <c r="B185" s="189"/>
      <c r="C185" s="189"/>
      <c r="D185" s="189"/>
      <c r="E185" s="189"/>
      <c r="F185" s="189"/>
      <c r="G185" s="189"/>
      <c r="H185" s="189"/>
      <c r="I185" s="189"/>
    </row>
    <row r="186" spans="1:9" x14ac:dyDescent="0.35">
      <c r="A186" s="189"/>
      <c r="B186" s="189"/>
      <c r="C186" s="189"/>
      <c r="D186" s="189"/>
      <c r="E186" s="189"/>
      <c r="F186" s="189"/>
      <c r="G186" s="189"/>
      <c r="H186" s="189"/>
      <c r="I186" s="189"/>
    </row>
    <row r="187" spans="1:9" x14ac:dyDescent="0.35">
      <c r="A187" s="189"/>
      <c r="B187" s="189"/>
      <c r="C187" s="189"/>
      <c r="D187" s="189"/>
      <c r="E187" s="189"/>
      <c r="F187" s="189"/>
      <c r="G187" s="189"/>
      <c r="H187" s="189"/>
      <c r="I187" s="189"/>
    </row>
    <row r="188" spans="1:9" x14ac:dyDescent="0.35">
      <c r="A188" s="189"/>
      <c r="B188" s="189"/>
      <c r="C188" s="189"/>
      <c r="D188" s="189"/>
      <c r="E188" s="189"/>
      <c r="F188" s="189"/>
      <c r="G188" s="189"/>
      <c r="H188" s="189"/>
      <c r="I188" s="189"/>
    </row>
    <row r="189" spans="1:9" x14ac:dyDescent="0.35">
      <c r="A189" s="189"/>
      <c r="B189" s="189"/>
      <c r="C189" s="189"/>
      <c r="D189" s="189"/>
      <c r="E189" s="189"/>
      <c r="F189" s="189"/>
      <c r="G189" s="189"/>
      <c r="H189" s="189"/>
      <c r="I189" s="189"/>
    </row>
    <row r="190" spans="1:9" x14ac:dyDescent="0.35">
      <c r="A190" s="187" t="s">
        <v>371</v>
      </c>
      <c r="B190" s="187"/>
      <c r="C190" s="187"/>
      <c r="D190" s="187"/>
      <c r="E190" s="187"/>
      <c r="F190" s="187"/>
      <c r="G190" s="187"/>
      <c r="H190" s="187"/>
      <c r="I190" s="187"/>
    </row>
    <row r="191" spans="1:9" x14ac:dyDescent="0.35">
      <c r="A191" s="187">
        <v>45554</v>
      </c>
      <c r="B191" s="187"/>
      <c r="C191" s="187"/>
      <c r="D191" s="187"/>
      <c r="E191" s="187"/>
      <c r="F191" s="187"/>
      <c r="G191" s="187"/>
      <c r="H191" s="187"/>
      <c r="I191" s="187"/>
    </row>
    <row r="192" spans="1:9" ht="20.149999999999999" customHeight="1" x14ac:dyDescent="0.35">
      <c r="A192" s="148" t="s">
        <v>399</v>
      </c>
      <c r="B192" s="19"/>
      <c r="C192" s="19"/>
      <c r="D192" s="19"/>
      <c r="E192" s="19"/>
      <c r="F192" s="19"/>
      <c r="G192" s="19"/>
      <c r="H192" s="19"/>
      <c r="I192" s="19"/>
    </row>
    <row r="193" spans="1:9" ht="14.5" customHeight="1" x14ac:dyDescent="0.35">
      <c r="A193" s="188" t="s">
        <v>398</v>
      </c>
      <c r="B193" s="188"/>
      <c r="C193" s="188"/>
      <c r="D193" s="188"/>
      <c r="E193" s="188"/>
      <c r="F193" s="188"/>
      <c r="G193" s="188"/>
      <c r="H193" s="188"/>
      <c r="I193" s="188"/>
    </row>
    <row r="194" spans="1:9" ht="14.5" customHeight="1" x14ac:dyDescent="0.35">
      <c r="A194" s="188"/>
      <c r="B194" s="188"/>
      <c r="C194" s="188"/>
      <c r="D194" s="188"/>
      <c r="E194" s="188"/>
      <c r="F194" s="188"/>
      <c r="G194" s="188"/>
      <c r="H194" s="188"/>
      <c r="I194" s="188"/>
    </row>
    <row r="195" spans="1:9" ht="14.5" customHeight="1" x14ac:dyDescent="0.35">
      <c r="A195" s="19"/>
      <c r="B195" s="19"/>
      <c r="C195" s="19"/>
      <c r="D195" s="19"/>
      <c r="E195" s="19"/>
      <c r="F195" s="19"/>
      <c r="G195" s="19"/>
      <c r="H195" s="19"/>
      <c r="I195" s="19"/>
    </row>
    <row r="196" spans="1:9" ht="14.5" customHeight="1" x14ac:dyDescent="0.35">
      <c r="A196" s="19"/>
      <c r="B196" s="19"/>
      <c r="C196" s="19"/>
      <c r="D196" s="19"/>
      <c r="E196" s="19"/>
      <c r="F196" s="19"/>
      <c r="G196" s="19"/>
      <c r="H196" s="19"/>
      <c r="I196" s="19"/>
    </row>
    <row r="197" spans="1:9" ht="14.5" customHeight="1" x14ac:dyDescent="0.35">
      <c r="A197" s="19"/>
      <c r="B197" s="19"/>
      <c r="C197" s="19"/>
      <c r="D197" s="19"/>
      <c r="E197" s="19"/>
      <c r="F197" s="19"/>
      <c r="G197" s="19"/>
      <c r="H197" s="19"/>
      <c r="I197" s="19"/>
    </row>
    <row r="198" spans="1:9" ht="14.5" customHeight="1" x14ac:dyDescent="0.35">
      <c r="A198" s="19"/>
      <c r="B198" s="19"/>
      <c r="C198" s="19"/>
      <c r="D198" s="19"/>
      <c r="E198" s="19"/>
      <c r="F198" s="19"/>
      <c r="G198" s="19"/>
      <c r="H198" s="19"/>
      <c r="I198" s="19"/>
    </row>
    <row r="199" spans="1:9" ht="14.5" customHeight="1" x14ac:dyDescent="0.35">
      <c r="A199" s="19"/>
      <c r="B199" s="19"/>
      <c r="C199" s="19"/>
      <c r="D199" s="19"/>
      <c r="E199" s="19"/>
      <c r="F199" s="19"/>
      <c r="G199" s="19"/>
      <c r="H199" s="19"/>
      <c r="I199" s="19"/>
    </row>
    <row r="200" spans="1:9" ht="14.5" customHeight="1" x14ac:dyDescent="0.35">
      <c r="A200" s="19"/>
      <c r="B200" s="19"/>
      <c r="C200" s="19"/>
      <c r="D200" s="19"/>
      <c r="E200" s="19"/>
      <c r="F200" s="19"/>
      <c r="G200" s="19"/>
      <c r="H200" s="19"/>
      <c r="I200" s="19"/>
    </row>
    <row r="201" spans="1:9" ht="14.5" customHeight="1" x14ac:dyDescent="0.35">
      <c r="A201" s="19"/>
      <c r="B201" s="19"/>
      <c r="C201" s="19"/>
      <c r="D201" s="19"/>
      <c r="E201" s="19"/>
      <c r="F201" s="19"/>
      <c r="G201" s="19"/>
      <c r="H201" s="19"/>
      <c r="I201" s="19"/>
    </row>
    <row r="202" spans="1:9" ht="14.5" customHeight="1" x14ac:dyDescent="0.35">
      <c r="A202" s="19"/>
      <c r="B202" s="19"/>
      <c r="C202" s="19"/>
      <c r="D202" s="19"/>
      <c r="E202" s="19"/>
      <c r="F202" s="19"/>
      <c r="G202" s="19"/>
      <c r="H202" s="19"/>
      <c r="I202" s="19"/>
    </row>
    <row r="203" spans="1:9" ht="14.5" customHeight="1" x14ac:dyDescent="0.35">
      <c r="A203" s="19"/>
      <c r="B203" s="19"/>
      <c r="C203" s="19"/>
      <c r="D203" s="19"/>
      <c r="E203" s="19"/>
      <c r="F203" s="19"/>
      <c r="G203" s="19"/>
      <c r="H203" s="19"/>
      <c r="I203" s="19"/>
    </row>
    <row r="204" spans="1:9" ht="14.5" customHeight="1" x14ac:dyDescent="0.35">
      <c r="A204" s="19"/>
      <c r="B204" s="19"/>
      <c r="C204" s="19"/>
      <c r="D204" s="19"/>
      <c r="E204" s="19"/>
      <c r="F204" s="19"/>
      <c r="G204" s="19"/>
      <c r="H204" s="19"/>
      <c r="I204" s="19"/>
    </row>
    <row r="205" spans="1:9" x14ac:dyDescent="0.35">
      <c r="A205" s="19"/>
      <c r="B205" s="19"/>
      <c r="C205" s="19"/>
      <c r="D205" s="19"/>
      <c r="E205" s="19"/>
      <c r="F205" s="19"/>
      <c r="G205" s="19"/>
      <c r="H205" s="19"/>
      <c r="I205" s="19"/>
    </row>
    <row r="206" spans="1:9" x14ac:dyDescent="0.35">
      <c r="A206" s="19"/>
      <c r="B206" s="19"/>
      <c r="C206" s="19"/>
      <c r="D206" s="19"/>
      <c r="E206" s="19"/>
      <c r="F206" s="19"/>
      <c r="G206" s="19"/>
      <c r="H206" s="19"/>
      <c r="I206" s="19"/>
    </row>
    <row r="207" spans="1:9" x14ac:dyDescent="0.35">
      <c r="A207" s="19"/>
      <c r="B207" s="19"/>
      <c r="C207" s="19"/>
      <c r="D207" s="19"/>
      <c r="E207" s="19"/>
      <c r="F207" s="19"/>
      <c r="G207" s="19"/>
      <c r="H207" s="19"/>
      <c r="I207" s="19"/>
    </row>
    <row r="208" spans="1:9" x14ac:dyDescent="0.35">
      <c r="A208" s="19"/>
      <c r="B208" s="19"/>
      <c r="C208" s="19"/>
      <c r="D208" s="19"/>
      <c r="E208" s="19"/>
      <c r="F208" s="19"/>
      <c r="G208" s="19"/>
      <c r="H208" s="19"/>
      <c r="I208" s="19"/>
    </row>
    <row r="209" spans="1:9" x14ac:dyDescent="0.35">
      <c r="A209" s="19"/>
      <c r="B209" s="19"/>
      <c r="C209" s="19"/>
      <c r="D209" s="19"/>
      <c r="E209" s="19"/>
      <c r="F209" s="19"/>
      <c r="G209" s="19"/>
      <c r="H209" s="19"/>
      <c r="I209" s="19"/>
    </row>
    <row r="210" spans="1:9" x14ac:dyDescent="0.35">
      <c r="A210" s="19"/>
      <c r="B210" s="19"/>
      <c r="C210" s="19"/>
      <c r="D210" s="19"/>
      <c r="E210" s="19"/>
      <c r="F210" s="19"/>
      <c r="G210" s="19"/>
      <c r="H210" s="19"/>
      <c r="I210" s="19"/>
    </row>
    <row r="211" spans="1:9" x14ac:dyDescent="0.35">
      <c r="A211" s="19"/>
      <c r="B211" s="19"/>
      <c r="C211" s="19"/>
      <c r="D211" s="19"/>
      <c r="E211" s="19"/>
      <c r="F211" s="19"/>
      <c r="G211" s="19"/>
      <c r="H211" s="19"/>
      <c r="I211" s="19"/>
    </row>
    <row r="212" spans="1:9" x14ac:dyDescent="0.35">
      <c r="A212" s="19"/>
      <c r="B212" s="19"/>
      <c r="C212" s="19"/>
      <c r="D212" s="19"/>
      <c r="E212" s="19"/>
      <c r="F212" s="19"/>
      <c r="G212" s="19"/>
      <c r="H212" s="19"/>
      <c r="I212" s="19"/>
    </row>
    <row r="213" spans="1:9" x14ac:dyDescent="0.35">
      <c r="A213" s="19"/>
      <c r="B213" s="19"/>
      <c r="C213" s="19"/>
      <c r="D213" s="19"/>
      <c r="E213" s="19"/>
      <c r="F213" s="19"/>
      <c r="G213" s="19"/>
      <c r="H213" s="19"/>
      <c r="I213" s="19"/>
    </row>
    <row r="214" spans="1:9" x14ac:dyDescent="0.35">
      <c r="A214" s="19"/>
      <c r="B214" s="19"/>
      <c r="C214" s="19"/>
      <c r="D214" s="19"/>
      <c r="E214" s="19"/>
      <c r="F214" s="19"/>
      <c r="G214" s="19"/>
      <c r="H214" s="19"/>
      <c r="I214" s="19"/>
    </row>
  </sheetData>
  <sheetProtection sheet="1" selectLockedCells="1"/>
  <mergeCells count="29">
    <mergeCell ref="A48:C48"/>
    <mergeCell ref="D48:F48"/>
    <mergeCell ref="G48:I48"/>
    <mergeCell ref="A49:C49"/>
    <mergeCell ref="D49:F49"/>
    <mergeCell ref="G49:I49"/>
    <mergeCell ref="A3:I11"/>
    <mergeCell ref="A13:I25"/>
    <mergeCell ref="A26:I34"/>
    <mergeCell ref="A36:I40"/>
    <mergeCell ref="A47:C47"/>
    <mergeCell ref="D47:F47"/>
    <mergeCell ref="G47:I47"/>
    <mergeCell ref="A50:C50"/>
    <mergeCell ref="D50:F50"/>
    <mergeCell ref="G50:I50"/>
    <mergeCell ref="A51:C51"/>
    <mergeCell ref="D51:F51"/>
    <mergeCell ref="G51:I51"/>
    <mergeCell ref="A190:I191"/>
    <mergeCell ref="A193:I194"/>
    <mergeCell ref="A157:I189"/>
    <mergeCell ref="A52:C52"/>
    <mergeCell ref="D52:F52"/>
    <mergeCell ref="G52:I52"/>
    <mergeCell ref="A58:I82"/>
    <mergeCell ref="A83:I106"/>
    <mergeCell ref="A155:I156"/>
    <mergeCell ref="A107:I154"/>
  </mergeCells>
  <pageMargins left="0.7" right="0.7" top="1.0625" bottom="0.75" header="0.3" footer="0.3"/>
  <pageSetup paperSize="9" scale="99" orientation="portrait" r:id="rId1"/>
  <headerFooter alignWithMargins="0">
    <oddHeader>&amp;C&amp;18PM
Klimatberäkningsverktyg för konst</oddHeader>
    <oddFooter>&amp;L&amp;P</oddFooter>
  </headerFooter>
  <rowBreaks count="4" manualBreakCount="4">
    <brk id="35" max="16383" man="1"/>
    <brk id="56" max="16383" man="1"/>
    <brk id="104" max="16383" man="1"/>
    <brk id="153"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513B3-F1DE-450F-AA81-7AB5D528BAC3}">
  <dimension ref="A1:B33"/>
  <sheetViews>
    <sheetView view="pageBreakPreview" topLeftCell="A5" zoomScale="110" zoomScaleNormal="100" zoomScaleSheetLayoutView="110" workbookViewId="0">
      <selection activeCell="C17" sqref="C17"/>
    </sheetView>
  </sheetViews>
  <sheetFormatPr defaultRowHeight="14.5" x14ac:dyDescent="0.35"/>
  <cols>
    <col min="1" max="1" width="115.453125" style="20" customWidth="1"/>
    <col min="2" max="2" width="45" customWidth="1"/>
    <col min="3" max="3" width="54.81640625" customWidth="1"/>
  </cols>
  <sheetData>
    <row r="1" spans="1:2" ht="31.4" customHeight="1" x14ac:dyDescent="0.55000000000000004">
      <c r="A1" s="21" t="s">
        <v>372</v>
      </c>
    </row>
    <row r="2" spans="1:2" ht="31.4" customHeight="1" x14ac:dyDescent="0.35">
      <c r="A2" s="20" t="s">
        <v>373</v>
      </c>
    </row>
    <row r="3" spans="1:2" ht="31.4" customHeight="1" x14ac:dyDescent="0.35">
      <c r="A3" s="20" t="s">
        <v>374</v>
      </c>
    </row>
    <row r="4" spans="1:2" ht="31.4" customHeight="1" x14ac:dyDescent="0.35">
      <c r="A4" s="20" t="s">
        <v>375</v>
      </c>
    </row>
    <row r="5" spans="1:2" ht="31.4" customHeight="1" x14ac:dyDescent="0.35">
      <c r="A5" s="20" t="s">
        <v>376</v>
      </c>
    </row>
    <row r="6" spans="1:2" ht="31.4" customHeight="1" x14ac:dyDescent="0.35">
      <c r="A6" s="20" t="s">
        <v>377</v>
      </c>
    </row>
    <row r="7" spans="1:2" ht="31.4" customHeight="1" x14ac:dyDescent="0.35">
      <c r="A7" s="20" t="s">
        <v>378</v>
      </c>
    </row>
    <row r="8" spans="1:2" ht="31.4" customHeight="1" x14ac:dyDescent="0.35">
      <c r="A8" s="20" t="s">
        <v>379</v>
      </c>
    </row>
    <row r="9" spans="1:2" ht="31.4" customHeight="1" x14ac:dyDescent="0.35">
      <c r="A9" s="20" t="s">
        <v>380</v>
      </c>
    </row>
    <row r="10" spans="1:2" ht="31.4" customHeight="1" x14ac:dyDescent="0.35">
      <c r="A10" s="18" t="s">
        <v>381</v>
      </c>
      <c r="B10" s="17"/>
    </row>
    <row r="11" spans="1:2" ht="31.4" customHeight="1" x14ac:dyDescent="0.35">
      <c r="A11" s="20" t="s">
        <v>382</v>
      </c>
    </row>
    <row r="12" spans="1:2" ht="31.4" customHeight="1" x14ac:dyDescent="0.35">
      <c r="A12" s="20" t="s">
        <v>383</v>
      </c>
    </row>
    <row r="13" spans="1:2" ht="31.4" customHeight="1" x14ac:dyDescent="0.35">
      <c r="A13" s="20" t="s">
        <v>384</v>
      </c>
    </row>
    <row r="14" spans="1:2" ht="31.4" customHeight="1" x14ac:dyDescent="0.35">
      <c r="A14" s="20" t="s">
        <v>385</v>
      </c>
    </row>
    <row r="15" spans="1:2" ht="31.4" customHeight="1" x14ac:dyDescent="0.35">
      <c r="A15" s="20" t="s">
        <v>386</v>
      </c>
    </row>
    <row r="16" spans="1:2" ht="31.4" customHeight="1" x14ac:dyDescent="0.35">
      <c r="A16" s="20" t="s">
        <v>387</v>
      </c>
    </row>
    <row r="17" spans="1:2" ht="31.4" customHeight="1" x14ac:dyDescent="0.35">
      <c r="A17" s="20" t="s">
        <v>388</v>
      </c>
    </row>
    <row r="18" spans="1:2" ht="31.4" customHeight="1" x14ac:dyDescent="0.35">
      <c r="A18" s="20" t="s">
        <v>389</v>
      </c>
    </row>
    <row r="19" spans="1:2" ht="31.4" customHeight="1" x14ac:dyDescent="0.35">
      <c r="A19" s="62" t="s">
        <v>390</v>
      </c>
    </row>
    <row r="20" spans="1:2" ht="31.4" customHeight="1" x14ac:dyDescent="0.35">
      <c r="A20" s="20" t="s">
        <v>391</v>
      </c>
    </row>
    <row r="21" spans="1:2" ht="31.4" customHeight="1" x14ac:dyDescent="0.35">
      <c r="A21" s="20" t="s">
        <v>392</v>
      </c>
    </row>
    <row r="22" spans="1:2" ht="31.4" customHeight="1" x14ac:dyDescent="0.35">
      <c r="A22" s="20" t="s">
        <v>393</v>
      </c>
    </row>
    <row r="23" spans="1:2" ht="31.4" customHeight="1" x14ac:dyDescent="0.35">
      <c r="A23" s="18" t="s">
        <v>394</v>
      </c>
    </row>
    <row r="24" spans="1:2" ht="31.4" customHeight="1" x14ac:dyDescent="0.35">
      <c r="A24" s="20" t="s">
        <v>395</v>
      </c>
    </row>
    <row r="25" spans="1:2" ht="31.4" customHeight="1" x14ac:dyDescent="0.35">
      <c r="A25" s="18" t="s">
        <v>396</v>
      </c>
      <c r="B25" s="17"/>
    </row>
    <row r="26" spans="1:2" ht="31.4" customHeight="1" x14ac:dyDescent="0.35">
      <c r="A26" s="20" t="s">
        <v>397</v>
      </c>
    </row>
    <row r="27" spans="1:2" ht="31.4" customHeight="1" x14ac:dyDescent="0.35"/>
    <row r="28" spans="1:2" ht="31.4" customHeight="1" x14ac:dyDescent="0.35"/>
    <row r="29" spans="1:2" ht="31.4" customHeight="1" x14ac:dyDescent="0.35">
      <c r="B29" s="17"/>
    </row>
    <row r="30" spans="1:2" ht="31.4" customHeight="1" x14ac:dyDescent="0.35">
      <c r="B30" s="17"/>
    </row>
    <row r="31" spans="1:2" ht="31.4" customHeight="1" x14ac:dyDescent="0.35"/>
    <row r="32" spans="1:2" ht="31.4" customHeight="1" x14ac:dyDescent="0.35"/>
    <row r="33" ht="31.4" customHeight="1" x14ac:dyDescent="0.35"/>
  </sheetData>
  <sheetProtection algorithmName="SHA-512" hashValue="AqBym9VY/RV3DdGRNGG9/7pa8gm6UVkE2fA8mzxS4V8rDisuY/2sPwP50REjOxtdPru5THwpm6KHPMDpF+e97Q==" saltValue="HcEQFMih17V/99V6W2+wIQ==" spinCount="100000" sheet="1" objects="1" scenarios="1"/>
  <pageMargins left="0.7" right="0.7" top="0.75" bottom="0.75" header="0.3" footer="0.3"/>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Generellt uppdragsdokument" ma:contentTypeID="0x010100C1A5C69F58C3E5498C0CD52D7052DE1501000775D35F2A1DEB4AB02D1D103B5BD0F9" ma:contentTypeVersion="73" ma:contentTypeDescription="Dokument som inte tillhör någon specifik grupp. Innehåller minsta gemensamma nämnare vad det gäller metadata." ma:contentTypeScope="" ma:versionID="1575489f5a9e6a35ffcb2b5bba1f0562">
  <xsd:schema xmlns:xsd="http://www.w3.org/2001/XMLSchema" xmlns:xs="http://www.w3.org/2001/XMLSchema" xmlns:p="http://schemas.microsoft.com/office/2006/metadata/properties" xmlns:ns2="96df7fee-69bd-4afa-ab34-9e51a881c80b" xmlns:ns3="24f5ae01-72eb-4bb7-bdb8-d530fb3d8417" xmlns:ns4="5695e772-35e9-41a6-950d-5c2bba15a01b" xmlns:ns5="c6085c4c-0682-4ec8-a2c7-b6b5be150860" targetNamespace="http://schemas.microsoft.com/office/2006/metadata/properties" ma:root="true" ma:fieldsID="be8a9600c38c8bde6c7819c9c802e2b7" ns2:_="" ns3:_="" ns4:_="" ns5:_="">
    <xsd:import namespace="96df7fee-69bd-4afa-ab34-9e51a881c80b"/>
    <xsd:import namespace="24f5ae01-72eb-4bb7-bdb8-d530fb3d8417"/>
    <xsd:import namespace="5695e772-35e9-41a6-950d-5c2bba15a01b"/>
    <xsd:import namespace="c6085c4c-0682-4ec8-a2c7-b6b5be150860"/>
    <xsd:element name="properties">
      <xsd:complexType>
        <xsd:sequence>
          <xsd:element name="documentManagement">
            <xsd:complexType>
              <xsd:all>
                <xsd:element ref="ns2:updr_Datering" minOccurs="0"/>
                <xsd:element ref="ns2:tyr_Ombud" minOccurs="0"/>
                <xsd:element ref="ns2:tyr_Status" minOccurs="0"/>
                <xsd:element ref="ns2:tyr_Startdatum" minOccurs="0"/>
                <xsd:element ref="ns2:tyr_Slutdatum" minOccurs="0"/>
                <xsd:element ref="ns2:tyr_Kund" minOccurs="0"/>
                <xsd:element ref="ns2:tyr_Kundnr" minOccurs="0"/>
                <xsd:element ref="ns2:tyr_Kundens_kontaktperson" minOccurs="0"/>
                <xsd:element ref="ns2:tyr_Uppdragsnr" minOccurs="0"/>
                <xsd:element ref="ns3:TaxCatchAll" minOccurs="0"/>
                <xsd:element ref="ns3:TaxCatchAllLabel" minOccurs="0"/>
                <xsd:element ref="ns2:tyr_Beskrivning" minOccurs="0"/>
                <xsd:element ref="ns3:TaxKeywordTaxHTField" minOccurs="0"/>
                <xsd:element ref="ns2:tyr_Uppdragsnamn" minOccurs="0"/>
                <xsd:element ref="ns2:tyr_Säkerhetsklass" minOccurs="0"/>
                <xsd:element ref="ns4:_dlc_DocIdPersistId" minOccurs="0"/>
                <xsd:element ref="ns4:_dlc_DocIdUrl" minOccurs="0"/>
                <xsd:element ref="ns4:_dlc_DocId" minOccurs="0"/>
                <xsd:element ref="ns2:g0de6d793696453fab3dc58402dd44ad" minOccurs="0"/>
                <xsd:element ref="ns2:tyr_UA" minOccurs="0"/>
                <xsd:element ref="ns5:MediaServiceMetadata" minOccurs="0"/>
                <xsd:element ref="ns5:MediaServiceFastMetadata" minOccurs="0"/>
                <xsd:element ref="ns2:jb331db169d14de79f4be5d14e44f463" minOccurs="0"/>
                <xsd:element ref="ns2:j4bd3d14c8534880b45ed4f975786be1" minOccurs="0"/>
                <xsd:element ref="ns4:jd61d31004c642b79326a89e8bf7b4c1" minOccurs="0"/>
                <xsd:element ref="ns2:g3fd8d07cb4c493c88cc9fdd31bbe14f" minOccurs="0"/>
                <xsd:element ref="ns2:bb7fb3fb79f6483ba2833a1fb55ae4b3" minOccurs="0"/>
                <xsd:element ref="ns4:jb9edbce74114795bb9914c5940c0b92" minOccurs="0"/>
                <xsd:element ref="ns2:h39d14fc9ac24cd9b17e7db5290b996e" minOccurs="0"/>
                <xsd:element ref="ns2:c67858f883c84cb6b105327ff74c8328" minOccurs="0"/>
                <xsd:element ref="ns4:cbca16cbd03e42a19751e9df7e40fb35" minOccurs="0"/>
                <xsd:element ref="ns2:dcd1b2adc84e4fd58b6de72927602253" minOccurs="0"/>
                <xsd:element ref="ns4:cd533082ead84336aa021457ff127342" minOccurs="0"/>
                <xsd:element ref="ns4:h0f343441d294d4eadc63e117c30df7f" minOccurs="0"/>
                <xsd:element ref="ns2:dbaa618c8d4b41659080628dd92c9063" minOccurs="0"/>
                <xsd:element ref="ns4:h067147b299a46609e8dd286635c1853" minOccurs="0"/>
                <xsd:element ref="ns2:n19b9e35edd2431684f2aa7866e749dd" minOccurs="0"/>
                <xsd:element ref="ns2:n1479bc29def4e5fbcda19972023e749" minOccurs="0"/>
                <xsd:element ref="ns4:ge54e4ae87e440d9941dc532f573fd48" minOccurs="0"/>
                <xsd:element ref="ns2:dd6eaf2743e245d9b5b61b2fc3cc9766" minOccurs="0"/>
                <xsd:element ref="ns5:MediaServiceObjectDetectorVersions" minOccurs="0"/>
                <xsd:element ref="ns5:lcf76f155ced4ddcb4097134ff3c332f" minOccurs="0"/>
                <xsd:element ref="ns5:MediaServiceOCR" minOccurs="0"/>
                <xsd:element ref="ns5:MediaServiceGenerationTime" minOccurs="0"/>
                <xsd:element ref="ns5:MediaServiceEventHashCod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df7fee-69bd-4afa-ab34-9e51a881c80b" elementFormDefault="qualified">
    <xsd:import namespace="http://schemas.microsoft.com/office/2006/documentManagement/types"/>
    <xsd:import namespace="http://schemas.microsoft.com/office/infopath/2007/PartnerControls"/>
    <xsd:element name="updr_Datering" ma:index="3" nillable="true" ma:displayName="Datering" ma:description="Ange innehållets datering. (Är inte detsamma som när det upprättades.)" ma:format="DateOnly" ma:internalName="updr_Datering">
      <xsd:simpleType>
        <xsd:restriction base="dms:DateTime"/>
      </xsd:simpleType>
    </xsd:element>
    <xsd:element name="tyr_Ombud" ma:index="6" nillable="true" ma:displayName="TyrA Ombud" ma:default="Sofia Lundberg" ma:description="Fältet &quot;Ombud&quot; i TyrA" ma:hidden="true" ma:internalName="tyr_Ombud">
      <xsd:simpleType>
        <xsd:restriction base="dms:Text">
          <xsd:maxLength value="255"/>
        </xsd:restriction>
      </xsd:simpleType>
    </xsd:element>
    <xsd:element name="tyr_Status" ma:index="7" nillable="true" ma:displayName="TyrA Status" ma:default="Aktiv - Pågående" ma:description="Fältet &quot;Status&quot; i TyrA" ma:hidden="true" ma:internalName="tyr_Status">
      <xsd:simpleType>
        <xsd:restriction base="dms:Text">
          <xsd:maxLength value="255"/>
        </xsd:restriction>
      </xsd:simpleType>
    </xsd:element>
    <xsd:element name="tyr_Startdatum" ma:index="8" nillable="true" ma:displayName="TyrA Startdatum" ma:default="2022-12-19" ma:description="Fältet &quot;Startdatum&quot; i TyrA" ma:hidden="true" ma:internalName="tyr_Startdatum">
      <xsd:simpleType>
        <xsd:restriction base="dms:Text">
          <xsd:maxLength value="255"/>
        </xsd:restriction>
      </xsd:simpleType>
    </xsd:element>
    <xsd:element name="tyr_Slutdatum" ma:index="9" nillable="true" ma:displayName="TyrA Slutdatum" ma:default="2024-06-04" ma:description="Fältet &quot;Slutdatum&quot; i TyrA" ma:hidden="true" ma:internalName="tyr_Slutdatum">
      <xsd:simpleType>
        <xsd:restriction base="dms:Text">
          <xsd:maxLength value="255"/>
        </xsd:restriction>
      </xsd:simpleType>
    </xsd:element>
    <xsd:element name="tyr_Kund" ma:index="10" nillable="true" ma:displayName="TyrA Kund" ma:default="Uppsala Kommun" ma:description="Fältet &quot;Kund&quot; enligt TyrA" ma:hidden="true" ma:internalName="tyr_Kund">
      <xsd:simpleType>
        <xsd:restriction base="dms:Text">
          <xsd:maxLength value="255"/>
        </xsd:restriction>
      </xsd:simpleType>
    </xsd:element>
    <xsd:element name="tyr_Kundnr" ma:index="11" nillable="true" ma:displayName="TyrA Kundnr" ma:default="212000-3005" ma:description="Fältet &quot;Kundnr&quot; i TyrA" ma:hidden="true" ma:internalName="tyr_Kundnr">
      <xsd:simpleType>
        <xsd:restriction base="dms:Text">
          <xsd:maxLength value="255"/>
        </xsd:restriction>
      </xsd:simpleType>
    </xsd:element>
    <xsd:element name="tyr_Kundens_kontaktperson" ma:index="12" nillable="true" ma:displayName="TyrA Kundens kontaktperson" ma:default="Tuva-Li Peter Lidé" ma:description="Fältet &quot;Kundens kontaktperson&quot; i TyrA" ma:hidden="true" ma:internalName="tyr_Kundens_kontaktperson">
      <xsd:simpleType>
        <xsd:restriction base="dms:Text">
          <xsd:maxLength value="255"/>
        </xsd:restriction>
      </xsd:simpleType>
    </xsd:element>
    <xsd:element name="tyr_Uppdragsnr" ma:index="18" nillable="true" ma:displayName="TyrA Uppdragsnr" ma:default="331284" ma:description="Fältet &quot;Uppdragsnr&quot; i TyrA" ma:hidden="true" ma:internalName="tyr_Uppdragsnr">
      <xsd:simpleType>
        <xsd:restriction base="dms:Text">
          <xsd:maxLength value="255"/>
        </xsd:restriction>
      </xsd:simpleType>
    </xsd:element>
    <xsd:element name="tyr_Beskrivning" ma:index="21" nillable="true" ma:displayName="TyrA Beskrivning" ma:default="Framtagande av klimatberäkningsverktyg för kosntverk" ma:description="Fältet &quot;Beskrivning&quot; i TyrA" ma:hidden="true" ma:internalName="tyr_Beskrivning">
      <xsd:simpleType>
        <xsd:restriction base="dms:Note"/>
      </xsd:simpleType>
    </xsd:element>
    <xsd:element name="tyr_Uppdragsnamn" ma:index="23" nillable="true" ma:displayName="TyrA Namn" ma:default="Klimatpåverkan offentlig konst" ma:description="Fältet &quot;Namn&quot; i TyrA" ma:hidden="true" ma:internalName="tyr_Uppdragsnamn">
      <xsd:simpleType>
        <xsd:restriction base="dms:Text">
          <xsd:maxLength value="255"/>
        </xsd:restriction>
      </xsd:simpleType>
    </xsd:element>
    <xsd:element name="tyr_Säkerhetsklass" ma:index="24" nillable="true" ma:displayName="TyrA Säkerhetsklass" ma:default="Normal" ma:description="Fältet &quot;Säkerhetsklass&quot; i TyrA" ma:hidden="true" ma:internalName="tyr_S_x00e4_kerhetsklass">
      <xsd:simpleType>
        <xsd:restriction base="dms:Text">
          <xsd:maxLength value="255"/>
        </xsd:restriction>
      </xsd:simpleType>
    </xsd:element>
    <xsd:element name="g0de6d793696453fab3dc58402dd44ad" ma:index="28" nillable="true" ma:taxonomy="true" ma:internalName="g0de6d793696453fab3dc58402dd44ad" ma:taxonomyFieldName="updr_Ansvarig_part" ma:displayName="Ansvarig part" ma:default="" ma:fieldId="{00de6d79-3696-453f-ab3d-c58402dd44ad}" ma:sspId="66ed4548-68d6-4d74-964a-d80b7b4edb6d" ma:termSetId="cc40be8f-3f72-4db7-8f6a-360b5680508f" ma:anchorId="00000000-0000-0000-0000-000000000000" ma:open="true" ma:isKeyword="false">
      <xsd:complexType>
        <xsd:sequence>
          <xsd:element ref="pc:Terms" minOccurs="0" maxOccurs="1"/>
        </xsd:sequence>
      </xsd:complexType>
    </xsd:element>
    <xsd:element name="tyr_UA" ma:index="29" nillable="true" ma:displayName="TyrA UA" ma:default="Anna Sjöström" ma:description="Fältet &quot;UA&quot; i TyrA" ma:hidden="true" ma:internalName="tyr_UA">
      <xsd:simpleType>
        <xsd:restriction base="dms:Text">
          <xsd:maxLength value="255"/>
        </xsd:restriction>
      </xsd:simpleType>
    </xsd:element>
    <xsd:element name="jb331db169d14de79f4be5d14e44f463" ma:index="32" nillable="true" ma:displayName="updr_Arbetsmiljödokument_0" ma:hidden="true" ma:internalName="jb331db169d14de79f4be5d14e44f463">
      <xsd:simpleType>
        <xsd:restriction base="dms:Note"/>
      </xsd:simpleType>
    </xsd:element>
    <xsd:element name="j4bd3d14c8534880b45ed4f975786be1" ma:index="33" nillable="true" ma:displayName="updr_Avtalsdokument_0" ma:hidden="true" ma:internalName="j4bd3d14c8534880b45ed4f975786be1">
      <xsd:simpleType>
        <xsd:restriction base="dms:Note"/>
      </xsd:simpleType>
    </xsd:element>
    <xsd:element name="g3fd8d07cb4c493c88cc9fdd31bbe14f" ma:index="35" nillable="true" ma:displayName="updr_Ekonomidokument_0" ma:hidden="true" ma:internalName="g3fd8d07cb4c493c88cc9fdd31bbe14f">
      <xsd:simpleType>
        <xsd:restriction base="dms:Note"/>
      </xsd:simpleType>
    </xsd:element>
    <xsd:element name="bb7fb3fb79f6483ba2833a1fb55ae4b3" ma:index="36" nillable="true" ma:displayName="updr_Skede_0" ma:hidden="true" ma:internalName="bb7fb3fb79f6483ba2833a1fb55ae4b3">
      <xsd:simpleType>
        <xsd:restriction base="dms:Note"/>
      </xsd:simpleType>
    </xsd:element>
    <xsd:element name="h39d14fc9ac24cd9b17e7db5290b996e" ma:index="38" nillable="true" ma:displayName="updr_Mötesdokument_0" ma:hidden="true" ma:internalName="h39d14fc9ac24cd9b17e7db5290b996e">
      <xsd:simpleType>
        <xsd:restriction base="dms:Note"/>
      </xsd:simpleType>
    </xsd:element>
    <xsd:element name="c67858f883c84cb6b105327ff74c8328" ma:index="39" nillable="true" ma:displayName="updr_Mötestyp_0" ma:hidden="true" ma:internalName="c67858f883c84cb6b105327ff74c8328">
      <xsd:simpleType>
        <xsd:restriction base="dms:Note"/>
      </xsd:simpleType>
    </xsd:element>
    <xsd:element name="dcd1b2adc84e4fd58b6de72927602253" ma:index="41" nillable="true" ma:displayName="updr_Kvalitetsdokument_0" ma:hidden="true" ma:internalName="dcd1b2adc84e4fd58b6de72927602253">
      <xsd:simpleType>
        <xsd:restriction base="dms:Note"/>
      </xsd:simpleType>
    </xsd:element>
    <xsd:element name="dbaa618c8d4b41659080628dd92c9063" ma:index="44" nillable="true" ma:displayName="updr_Organisationsdokument_0" ma:hidden="true" ma:internalName="dbaa618c8d4b41659080628dd92c9063">
      <xsd:simpleType>
        <xsd:restriction base="dms:Note"/>
      </xsd:simpleType>
    </xsd:element>
    <xsd:element name="n19b9e35edd2431684f2aa7866e749dd" ma:index="46" nillable="true" ma:displayName="updr_Styrande_dokument_0" ma:hidden="true" ma:internalName="n19b9e35edd2431684f2aa7866e749dd">
      <xsd:simpleType>
        <xsd:restriction base="dms:Note"/>
      </xsd:simpleType>
    </xsd:element>
    <xsd:element name="n1479bc29def4e5fbcda19972023e749" ma:index="47" nillable="true" ma:displayName="updr_Dokumentstatus_0" ma:hidden="true" ma:internalName="n1479bc29def4e5fbcda19972023e749">
      <xsd:simpleType>
        <xsd:restriction base="dms:Note"/>
      </xsd:simpleType>
    </xsd:element>
    <xsd:element name="dd6eaf2743e245d9b5b61b2fc3cc9766" ma:index="49" nillable="true" ma:displayName="updr_Underlagstyp_0" ma:hidden="true" ma:internalName="dd6eaf2743e245d9b5b61b2fc3cc9766">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5ae01-72eb-4bb7-bdb8-d530fb3d841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25fa1e2-57a9-4809-8208-6807e8857684}" ma:internalName="TaxCatchAll" ma:readOnly="false" ma:showField="CatchAllData" ma:web="24f5ae01-72eb-4bb7-bdb8-d530fb3d8417">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325fa1e2-57a9-4809-8208-6807e8857684}" ma:internalName="TaxCatchAllLabel" ma:readOnly="false" ma:showField="CatchAllDataLabel" ma:web="24f5ae01-72eb-4bb7-bdb8-d530fb3d8417">
      <xsd:complexType>
        <xsd:complexContent>
          <xsd:extension base="dms:MultiChoiceLookup">
            <xsd:sequence>
              <xsd:element name="Value" type="dms:Lookup" maxOccurs="unbounded" minOccurs="0" nillable="true"/>
            </xsd:sequence>
          </xsd:extension>
        </xsd:complexContent>
      </xsd:complexType>
    </xsd:element>
    <xsd:element name="TaxKeywordTaxHTField" ma:index="22" nillable="true" ma:taxonomy="true" ma:internalName="TaxKeywordTaxHTField" ma:taxonomyFieldName="TaxKeyword" ma:displayName="Enterprise Keywords" ma:readOnly="false" ma:fieldId="{23f27201-bee3-471e-b2e7-b64fd8b7ca38}" ma:taxonomyMulti="true" ma:sspId="66ed4548-68d6-4d74-964a-d80b7b4edb6d"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695e772-35e9-41a6-950d-5c2bba15a01b" elementFormDefault="qualified">
    <xsd:import namespace="http://schemas.microsoft.com/office/2006/documentManagement/types"/>
    <xsd:import namespace="http://schemas.microsoft.com/office/infopath/2007/PartnerControls"/>
    <xsd:element name="_dlc_DocIdPersistId" ma:index="25" nillable="true" ma:displayName="Persist ID" ma:description="Keep ID on add." ma:hidden="true" ma:internalName="_dlc_DocIdPersistId" ma:readOnly="true">
      <xsd:simpleType>
        <xsd:restriction base="dms:Boolean"/>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27" nillable="true" ma:displayName="Document ID Value" ma:description="The value of the document ID assigned to this item." ma:hidden="true" ma:indexed="true" ma:internalName="_dlc_DocId" ma:readOnly="true">
      <xsd:simpleType>
        <xsd:restriction base="dms:Text"/>
      </xsd:simpleType>
    </xsd:element>
    <xsd:element name="jd61d31004c642b79326a89e8bf7b4c1" ma:index="34" nillable="true" ma:displayName="updr_Dokumentstatus_Avtal_0" ma:hidden="true" ma:internalName="jd61d31004c642b79326a89e8bf7b4c1">
      <xsd:simpleType>
        <xsd:restriction base="dms:Note"/>
      </xsd:simpleType>
    </xsd:element>
    <xsd:element name="jb9edbce74114795bb9914c5940c0b92" ma:index="37" nillable="true" ma:displayName="updr_Handling_0" ma:hidden="true" ma:internalName="jb9edbce74114795bb9914c5940c0b92">
      <xsd:simpleType>
        <xsd:restriction base="dms:Note"/>
      </xsd:simpleType>
    </xsd:element>
    <xsd:element name="cbca16cbd03e42a19751e9df7e40fb35" ma:index="40" nillable="true" ma:displayName="updr_Kravdokument_0" ma:hidden="true" ma:internalName="cbca16cbd03e42a19751e9df7e40fb35">
      <xsd:simpleType>
        <xsd:restriction base="dms:Note"/>
      </xsd:simpleType>
    </xsd:element>
    <xsd:element name="cd533082ead84336aa021457ff127342" ma:index="42" nillable="true" ma:displayName="updr_Miljödokument_0" ma:hidden="true" ma:internalName="cd533082ead84336aa021457ff127342">
      <xsd:simpleType>
        <xsd:restriction base="dms:Note"/>
      </xsd:simpleType>
    </xsd:element>
    <xsd:element name="h0f343441d294d4eadc63e117c30df7f" ma:index="43" nillable="true" ma:displayName="updr_Omfattningsdokument_0" ma:hidden="true" ma:internalName="h0f343441d294d4eadc63e117c30df7f">
      <xsd:simpleType>
        <xsd:restriction base="dms:Note"/>
      </xsd:simpleType>
    </xsd:element>
    <xsd:element name="h067147b299a46609e8dd286635c1853" ma:index="45" nillable="true" ma:displayName="updr_Riskdokument_0" ma:hidden="true" ma:internalName="h067147b299a46609e8dd286635c1853">
      <xsd:simpleType>
        <xsd:restriction base="dms:Note"/>
      </xsd:simpleType>
    </xsd:element>
    <xsd:element name="ge54e4ae87e440d9941dc532f573fd48" ma:index="48" nillable="true" ma:displayName="updr_Tider_0" ma:hidden="true" ma:internalName="ge54e4ae87e440d9941dc532f573fd48">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085c4c-0682-4ec8-a2c7-b6b5be150860" elementFormDefault="qualified">
    <xsd:import namespace="http://schemas.microsoft.com/office/2006/documentManagement/types"/>
    <xsd:import namespace="http://schemas.microsoft.com/office/infopath/2007/PartnerControls"/>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MediaServiceObjectDetectorVersions" ma:index="50" nillable="true" ma:displayName="MediaServiceObjectDetectorVersions" ma:hidden="true" ma:indexed="true" ma:internalName="MediaServiceObjectDetectorVersions" ma:readOnly="true">
      <xsd:simpleType>
        <xsd:restriction base="dms:Text"/>
      </xsd:simpleType>
    </xsd:element>
    <xsd:element name="lcf76f155ced4ddcb4097134ff3c332f" ma:index="52" nillable="true" ma:taxonomy="true" ma:internalName="lcf76f155ced4ddcb4097134ff3c332f" ma:taxonomyFieldName="MediaServiceImageTags" ma:displayName="Image Tags" ma:readOnly="false" ma:fieldId="{5cf76f15-5ced-4ddc-b409-7134ff3c332f}" ma:taxonomyMulti="true" ma:sspId="66ed4548-68d6-4d74-964a-d80b7b4edb6d" ma:termSetId="09814cd3-568e-fe90-9814-8d621ff8fb84" ma:anchorId="fba54fb3-c3e1-fe81-a776-ca4b69148c4d" ma:open="true" ma:isKeyword="false">
      <xsd:complexType>
        <xsd:sequence>
          <xsd:element ref="pc:Terms" minOccurs="0" maxOccurs="1"/>
        </xsd:sequence>
      </xsd:complexType>
    </xsd:element>
    <xsd:element name="MediaServiceOCR" ma:index="53" nillable="true" ma:displayName="Extracted Text" ma:internalName="MediaServiceOCR" ma:readOnly="true">
      <xsd:simpleType>
        <xsd:restriction base="dms:Note">
          <xsd:maxLength value="255"/>
        </xsd:restriction>
      </xsd:simpleType>
    </xsd:element>
    <xsd:element name="MediaServiceGenerationTime" ma:index="54" nillable="true" ma:displayName="MediaServiceGenerationTime" ma:hidden="true" ma:internalName="MediaServiceGenerationTime" ma:readOnly="true">
      <xsd:simpleType>
        <xsd:restriction base="dms:Text"/>
      </xsd:simpleType>
    </xsd:element>
    <xsd:element name="MediaServiceEventHashCode" ma:index="55" nillable="true" ma:displayName="MediaServiceEventHashCode" ma:hidden="true" ma:internalName="MediaServiceEventHashCode" ma:readOnly="true">
      <xsd:simpleType>
        <xsd:restriction base="dms:Text"/>
      </xsd:simpleType>
    </xsd:element>
    <xsd:element name="MediaServiceSearchProperties" ma:index="5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1479bc29def4e5fbcda19972023e749 xmlns="96df7fee-69bd-4afa-ab34-9e51a881c80b" xsi:nil="true"/>
    <tyr_Kund xmlns="96df7fee-69bd-4afa-ab34-9e51a881c80b">Uppsala Kommun</tyr_Kund>
    <TaxCatchAll xmlns="24f5ae01-72eb-4bb7-bdb8-d530fb3d8417" xsi:nil="true"/>
    <TaxCatchAllLabel xmlns="24f5ae01-72eb-4bb7-bdb8-d530fb3d8417" xsi:nil="true"/>
    <bb7fb3fb79f6483ba2833a1fb55ae4b3 xmlns="96df7fee-69bd-4afa-ab34-9e51a881c80b" xsi:nil="true"/>
    <cbca16cbd03e42a19751e9df7e40fb35 xmlns="5695e772-35e9-41a6-950d-5c2bba15a01b" xsi:nil="true"/>
    <tyr_Kundnr xmlns="96df7fee-69bd-4afa-ab34-9e51a881c80b">212000-3005</tyr_Kundnr>
    <tyr_Kundens_kontaktperson xmlns="96df7fee-69bd-4afa-ab34-9e51a881c80b">.</tyr_Kundens_kontaktperson>
    <cd533082ead84336aa021457ff127342 xmlns="5695e772-35e9-41a6-950d-5c2bba15a01b" xsi:nil="true"/>
    <dbaa618c8d4b41659080628dd92c9063 xmlns="96df7fee-69bd-4afa-ab34-9e51a881c80b" xsi:nil="true"/>
    <ge54e4ae87e440d9941dc532f573fd48 xmlns="5695e772-35e9-41a6-950d-5c2bba15a01b" xsi:nil="true"/>
    <tyr_Startdatum xmlns="96df7fee-69bd-4afa-ab34-9e51a881c80b">2022-12-19</tyr_Startdatum>
    <tyr_Uppdragsnr xmlns="96df7fee-69bd-4afa-ab34-9e51a881c80b">331284</tyr_Uppdragsnr>
    <dd6eaf2743e245d9b5b61b2fc3cc9766 xmlns="96df7fee-69bd-4afa-ab34-9e51a881c80b" xsi:nil="true"/>
    <tyr_Status xmlns="96df7fee-69bd-4afa-ab34-9e51a881c80b">Aktiv - Pågående</tyr_Status>
    <TaxKeywordTaxHTField xmlns="24f5ae01-72eb-4bb7-bdb8-d530fb3d8417">
      <Terms xmlns="http://schemas.microsoft.com/office/infopath/2007/PartnerControls"/>
    </TaxKeywordTaxHTField>
    <tyr_Uppdragsnamn xmlns="96df7fee-69bd-4afa-ab34-9e51a881c80b">Klimatpåverkan offentlig konst</tyr_Uppdragsnamn>
    <tyr_UA xmlns="96df7fee-69bd-4afa-ab34-9e51a881c80b">Anna Sjöström</tyr_UA>
    <updr_Datering xmlns="96df7fee-69bd-4afa-ab34-9e51a881c80b" xsi:nil="true"/>
    <tyr_Säkerhetsklass xmlns="96df7fee-69bd-4afa-ab34-9e51a881c80b">Normal</tyr_Säkerhetsklass>
    <jb331db169d14de79f4be5d14e44f463 xmlns="96df7fee-69bd-4afa-ab34-9e51a881c80b" xsi:nil="true"/>
    <dcd1b2adc84e4fd58b6de72927602253 xmlns="96df7fee-69bd-4afa-ab34-9e51a881c80b" xsi:nil="true"/>
    <n19b9e35edd2431684f2aa7866e749dd xmlns="96df7fee-69bd-4afa-ab34-9e51a881c80b" xsi:nil="true"/>
    <tyr_Ombud xmlns="96df7fee-69bd-4afa-ab34-9e51a881c80b">Sofia Lundberg</tyr_Ombud>
    <g0de6d793696453fab3dc58402dd44ad xmlns="96df7fee-69bd-4afa-ab34-9e51a881c80b">
      <Terms xmlns="http://schemas.microsoft.com/office/infopath/2007/PartnerControls"/>
    </g0de6d793696453fab3dc58402dd44ad>
    <jd61d31004c642b79326a89e8bf7b4c1 xmlns="5695e772-35e9-41a6-950d-5c2bba15a01b" xsi:nil="true"/>
    <c67858f883c84cb6b105327ff74c8328 xmlns="96df7fee-69bd-4afa-ab34-9e51a881c80b" xsi:nil="true"/>
    <h067147b299a46609e8dd286635c1853 xmlns="5695e772-35e9-41a6-950d-5c2bba15a01b" xsi:nil="true"/>
    <jb9edbce74114795bb9914c5940c0b92 xmlns="5695e772-35e9-41a6-950d-5c2bba15a01b" xsi:nil="true"/>
    <h39d14fc9ac24cd9b17e7db5290b996e xmlns="96df7fee-69bd-4afa-ab34-9e51a881c80b" xsi:nil="true"/>
    <j4bd3d14c8534880b45ed4f975786be1 xmlns="96df7fee-69bd-4afa-ab34-9e51a881c80b" xsi:nil="true"/>
    <g3fd8d07cb4c493c88cc9fdd31bbe14f xmlns="96df7fee-69bd-4afa-ab34-9e51a881c80b" xsi:nil="true"/>
    <tyr_Slutdatum xmlns="96df7fee-69bd-4afa-ab34-9e51a881c80b" xsi:nil="true"/>
    <tyr_Beskrivning xmlns="96df7fee-69bd-4afa-ab34-9e51a881c80b">Framtagande av klimatberäkningsverktyg för kosntverk</tyr_Beskrivning>
    <h0f343441d294d4eadc63e117c30df7f xmlns="5695e772-35e9-41a6-950d-5c2bba15a01b" xsi:nil="true"/>
    <lcf76f155ced4ddcb4097134ff3c332f xmlns="c6085c4c-0682-4ec8-a2c7-b6b5be15086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CC7C8D8-9881-4DDA-A65D-17BC30527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df7fee-69bd-4afa-ab34-9e51a881c80b"/>
    <ds:schemaRef ds:uri="24f5ae01-72eb-4bb7-bdb8-d530fb3d8417"/>
    <ds:schemaRef ds:uri="5695e772-35e9-41a6-950d-5c2bba15a01b"/>
    <ds:schemaRef ds:uri="c6085c4c-0682-4ec8-a2c7-b6b5be1508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C148BA-F383-432D-A2C4-8C5AE1BA2428}">
  <ds:schemaRefs>
    <ds:schemaRef ds:uri="http://schemas.openxmlformats.org/package/2006/metadata/core-properties"/>
    <ds:schemaRef ds:uri="24f5ae01-72eb-4bb7-bdb8-d530fb3d8417"/>
    <ds:schemaRef ds:uri="http://purl.org/dc/terms/"/>
    <ds:schemaRef ds:uri="http://schemas.microsoft.com/office/infopath/2007/PartnerControls"/>
    <ds:schemaRef ds:uri="http://schemas.microsoft.com/office/2006/documentManagement/types"/>
    <ds:schemaRef ds:uri="5695e772-35e9-41a6-950d-5c2bba15a01b"/>
    <ds:schemaRef ds:uri="c6085c4c-0682-4ec8-a2c7-b6b5be150860"/>
    <ds:schemaRef ds:uri="http://schemas.microsoft.com/office/2006/metadata/properties"/>
    <ds:schemaRef ds:uri="http://purl.org/dc/elements/1.1/"/>
    <ds:schemaRef ds:uri="96df7fee-69bd-4afa-ab34-9e51a881c80b"/>
    <ds:schemaRef ds:uri="http://www.w3.org/XML/1998/namespace"/>
    <ds:schemaRef ds:uri="http://purl.org/dc/dcmitype/"/>
  </ds:schemaRefs>
</ds:datastoreItem>
</file>

<file path=customXml/itemProps3.xml><?xml version="1.0" encoding="utf-8"?>
<ds:datastoreItem xmlns:ds="http://schemas.openxmlformats.org/officeDocument/2006/customXml" ds:itemID="{9C751EA7-2C2E-499C-8E8A-88CA723A3185}">
  <ds:schemaRefs>
    <ds:schemaRef ds:uri="http://schemas.microsoft.com/sharepoint/v3/contenttype/forms"/>
  </ds:schemaRefs>
</ds:datastoreItem>
</file>

<file path=customXml/itemProps4.xml><?xml version="1.0" encoding="utf-8"?>
<ds:datastoreItem xmlns:ds="http://schemas.openxmlformats.org/officeDocument/2006/customXml" ds:itemID="{722372C4-EB65-4CC1-BDF2-57E75522FD8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22</vt:i4>
      </vt:variant>
    </vt:vector>
  </HeadingPairs>
  <TitlesOfParts>
    <vt:vector size="28" baseType="lpstr">
      <vt:lpstr>Indata</vt:lpstr>
      <vt:lpstr>Rapport</vt:lpstr>
      <vt:lpstr>Emissionsfaktorer</vt:lpstr>
      <vt:lpstr>Transportdata</vt:lpstr>
      <vt:lpstr>PM</vt:lpstr>
      <vt:lpstr>Referenser</vt:lpstr>
      <vt:lpstr>Bränsleförbrukning</vt:lpstr>
      <vt:lpstr>Färg</vt:lpstr>
      <vt:lpstr>Glas</vt:lpstr>
      <vt:lpstr>Metall</vt:lpstr>
      <vt:lpstr>Plast</vt:lpstr>
      <vt:lpstr>Smälta_Aluminium</vt:lpstr>
      <vt:lpstr>Smälta_Brons</vt:lpstr>
      <vt:lpstr>Smälta_Järn</vt:lpstr>
      <vt:lpstr>Smälta_Stål</vt:lpstr>
      <vt:lpstr>Sten_och_betong</vt:lpstr>
      <vt:lpstr>Textil</vt:lpstr>
      <vt:lpstr>Trä</vt:lpstr>
      <vt:lpstr>PM!Utskriftsområde</vt:lpstr>
      <vt:lpstr>Rapport!Utskriftsområde</vt:lpstr>
      <vt:lpstr>Referenser!Utskriftsområde</vt:lpstr>
      <vt:lpstr>Övrig_elförbrukning_max_10000W</vt:lpstr>
      <vt:lpstr>Övrig_elförbrukning_max_1000W</vt:lpstr>
      <vt:lpstr>Övrig_elförbrukning_max_100W</vt:lpstr>
      <vt:lpstr>Övrig_elförbrukning_max_2000W</vt:lpstr>
      <vt:lpstr>Övrig_elförbrukning_max_3000W</vt:lpstr>
      <vt:lpstr>Övrig_elförbrukning_max_5000W</vt:lpstr>
      <vt:lpstr>Övrigt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Emanuel Lindbäck</dc:creator>
  <cp:keywords/>
  <dc:description/>
  <cp:lastModifiedBy>Johan Albihn</cp:lastModifiedBy>
  <cp:revision/>
  <cp:lastPrinted>2024-10-10T14:44:38Z</cp:lastPrinted>
  <dcterms:created xsi:type="dcterms:W3CDTF">2023-03-02T11:35:42Z</dcterms:created>
  <dcterms:modified xsi:type="dcterms:W3CDTF">2024-10-10T15:02:30Z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0x010100C1A5C69F58C3E5498C0CD52D7052DE1501000775D35F2A1DEB4AB02D1D103B5BD0F9</vt:lpwstr>
  </property>
  <property fmtid="{D5CDD505-2E9C-101B-9397-08002B2CF9AE}" pid="3" name="TaxKeyword">
    <vt:lpwstr/>
  </property>
  <property fmtid="{D5CDD505-2E9C-101B-9397-08002B2CF9AE}" pid="4" name="updr_Dokumentstatus_Avtal">
    <vt:lpwstr/>
  </property>
  <property fmtid="{D5CDD505-2E9C-101B-9397-08002B2CF9AE}" pid="5" name="updr_Avtalsdokument">
    <vt:lpwstr/>
  </property>
  <property fmtid="{D5CDD505-2E9C-101B-9397-08002B2CF9AE}" pid="6" name="updr_Tilldelning">
    <vt:lpwstr/>
  </property>
  <property fmtid="{D5CDD505-2E9C-101B-9397-08002B2CF9AE}" pid="7" name="o07e95d822b440acacca93cc8b06db0d">
    <vt:lpwstr/>
  </property>
  <property fmtid="{D5CDD505-2E9C-101B-9397-08002B2CF9AE}" pid="8" name="updr_Skede">
    <vt:lpwstr/>
  </property>
  <property fmtid="{D5CDD505-2E9C-101B-9397-08002B2CF9AE}" pid="9" name="updr_Anbudsdokument">
    <vt:lpwstr/>
  </property>
  <property fmtid="{D5CDD505-2E9C-101B-9397-08002B2CF9AE}" pid="10" name="updr_Dokumentstatus">
    <vt:lpwstr/>
  </property>
  <property fmtid="{D5CDD505-2E9C-101B-9397-08002B2CF9AE}" pid="11" name="updr_Ansvarig_part">
    <vt:lpwstr/>
  </property>
  <property fmtid="{D5CDD505-2E9C-101B-9397-08002B2CF9AE}" pid="12" name="updr_Handling">
    <vt:lpwstr/>
  </property>
  <property fmtid="{D5CDD505-2E9C-101B-9397-08002B2CF9AE}" pid="13" name="updr_Styrande_dokument">
    <vt:lpwstr/>
  </property>
  <property fmtid="{D5CDD505-2E9C-101B-9397-08002B2CF9AE}" pid="14" name="updr_Mötesdokument">
    <vt:lpwstr/>
  </property>
  <property fmtid="{D5CDD505-2E9C-101B-9397-08002B2CF9AE}" pid="15" name="updr_Kravdokument">
    <vt:lpwstr/>
  </property>
  <property fmtid="{D5CDD505-2E9C-101B-9397-08002B2CF9AE}" pid="16" name="updr_Organisationsdokument">
    <vt:lpwstr/>
  </property>
  <property fmtid="{D5CDD505-2E9C-101B-9397-08002B2CF9AE}" pid="17" name="updr_Mötestyp">
    <vt:lpwstr/>
  </property>
  <property fmtid="{D5CDD505-2E9C-101B-9397-08002B2CF9AE}" pid="18" name="updr_Dokumentstatus_Anbud">
    <vt:lpwstr/>
  </property>
  <property fmtid="{D5CDD505-2E9C-101B-9397-08002B2CF9AE}" pid="19" name="updr_Kvalitetsdokument">
    <vt:lpwstr/>
  </property>
  <property fmtid="{D5CDD505-2E9C-101B-9397-08002B2CF9AE}" pid="20" name="a91d1042b24b4e7eb079e6a2efaf1dfc">
    <vt:lpwstr/>
  </property>
  <property fmtid="{D5CDD505-2E9C-101B-9397-08002B2CF9AE}" pid="21" name="h5c59f3b2c2949eeb0ade04170ba2dd0">
    <vt:lpwstr/>
  </property>
  <property fmtid="{D5CDD505-2E9C-101B-9397-08002B2CF9AE}" pid="22" name="b2ddf16e502a4747a5691c48d73472cf">
    <vt:lpwstr/>
  </property>
  <property fmtid="{D5CDD505-2E9C-101B-9397-08002B2CF9AE}" pid="23" name="updr_Tider">
    <vt:lpwstr/>
  </property>
  <property fmtid="{D5CDD505-2E9C-101B-9397-08002B2CF9AE}" pid="24" name="updr_Miljödokument">
    <vt:lpwstr/>
  </property>
  <property fmtid="{D5CDD505-2E9C-101B-9397-08002B2CF9AE}" pid="25" name="updr_Ekonomidokument">
    <vt:lpwstr/>
  </property>
  <property fmtid="{D5CDD505-2E9C-101B-9397-08002B2CF9AE}" pid="26" name="updr_Riskdokument">
    <vt:lpwstr/>
  </property>
  <property fmtid="{D5CDD505-2E9C-101B-9397-08002B2CF9AE}" pid="27" name="updr_Underlagstyp">
    <vt:lpwstr/>
  </property>
  <property fmtid="{D5CDD505-2E9C-101B-9397-08002B2CF9AE}" pid="28" name="updr_Omfattningsdokument">
    <vt:lpwstr/>
  </property>
  <property fmtid="{D5CDD505-2E9C-101B-9397-08002B2CF9AE}" pid="29" name="updr_Arbetsmiljödokument">
    <vt:lpwstr/>
  </property>
  <property fmtid="{D5CDD505-2E9C-101B-9397-08002B2CF9AE}" pid="30" name="updr_F_x00f6_rfr_x00e5_gningsdokument">
    <vt:lpwstr/>
  </property>
  <property fmtid="{D5CDD505-2E9C-101B-9397-08002B2CF9AE}" pid="31" name="updr_Förfrågningsdokument">
    <vt:lpwstr/>
  </property>
  <property fmtid="{D5CDD505-2E9C-101B-9397-08002B2CF9AE}" pid="32" name="MediaServiceImageTags">
    <vt:lpwstr/>
  </property>
</Properties>
</file>